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944\Desktop\ARR 2022-23 Additional Data\"/>
    </mc:Choice>
  </mc:AlternateContent>
  <xr:revisionPtr revIDLastSave="0" documentId="13_ncr:1_{86354BEE-219D-4E01-9B6C-34DFFC2C9417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Point 2" sheetId="1" r:id="rId1"/>
    <sheet name="Point 4" sheetId="2" r:id="rId2"/>
    <sheet name="Point 6" sheetId="3" r:id="rId3"/>
    <sheet name="point 8" sheetId="4" r:id="rId4"/>
    <sheet name="Point 10" sheetId="17" r:id="rId5"/>
    <sheet name="Point 11" sheetId="16" r:id="rId6"/>
    <sheet name="Point 12" sheetId="7" r:id="rId7"/>
    <sheet name="Point 13 wage workign sheet" sheetId="8" r:id="rId8"/>
    <sheet name="2022-23 depriciation worksheet " sheetId="9" r:id="rId9"/>
    <sheet name="2022-23 dep work sheet1 " sheetId="10" r:id="rId10"/>
    <sheet name="Adm Exp work sheet" sheetId="11" r:id="rId11"/>
    <sheet name="R&amp;M Exp Working sheet" sheetId="12" r:id="rId12"/>
    <sheet name="Loan intrest working sheet" sheetId="13" r:id="rId13"/>
    <sheet name="Int on Consumer S.D. work sheet" sheetId="14" r:id="rId14"/>
    <sheet name="Point 16" sheetId="15" r:id="rId15"/>
    <sheet name="Capital Programme" sheetId="20" r:id="rId16"/>
    <sheet name="Head wise fixe assets" sheetId="21" r:id="rId17"/>
    <sheet name="H.T. services" sheetId="18" r:id="rId18"/>
  </sheets>
  <externalReferences>
    <externalReference r:id="rId19"/>
    <externalReference r:id="rId20"/>
  </externalReferences>
  <definedNames>
    <definedName name="_xlnm.Print_Area" localSheetId="5">'Point 11'!$A$1:$H$8</definedName>
    <definedName name="_xlnm.Print_Titles" localSheetId="8">'2022-23 depriciation worksheet '!$1:$2</definedName>
    <definedName name="_xlnm.Print_Titles" localSheetId="10">'Adm Exp work sheet'!$1:$6</definedName>
    <definedName name="_xlnm.Print_Titles" localSheetId="17">'H.T. services'!$1:$3</definedName>
    <definedName name="_xlnm.Print_Titles" localSheetId="16">'Head wise fixe assets'!$1:$9</definedName>
    <definedName name="_xlnm.Print_Titles" localSheetId="6">'Point 12'!$1:$5</definedName>
    <definedName name="total_dec_ht" localSheetId="17">'H.T. services'!$B$4:$H$60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7" l="1"/>
  <c r="D15" i="17" s="1"/>
  <c r="C13" i="17"/>
  <c r="C14" i="17" s="1"/>
  <c r="C16" i="17" s="1"/>
  <c r="C17" i="17" s="1"/>
  <c r="D10" i="17"/>
  <c r="C9" i="17"/>
  <c r="C11" i="17" s="1"/>
  <c r="D8" i="17"/>
  <c r="D7" i="17"/>
  <c r="D6" i="17"/>
  <c r="D9" i="17" s="1"/>
  <c r="D11" i="17" s="1"/>
  <c r="D13" i="17" s="1"/>
  <c r="D14" i="17" s="1"/>
  <c r="D16" i="17" s="1"/>
  <c r="D17" i="17" s="1"/>
  <c r="C18" i="17" s="1"/>
  <c r="F49" i="21"/>
  <c r="E49" i="21"/>
  <c r="D49" i="21"/>
  <c r="C49" i="21"/>
  <c r="B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49" i="21" s="1"/>
  <c r="H31" i="20" l="1"/>
  <c r="J31" i="20" s="1"/>
  <c r="F31" i="20"/>
  <c r="C31" i="20"/>
  <c r="K31" i="20" s="1"/>
  <c r="L31" i="20" s="1"/>
  <c r="N31" i="20" s="1"/>
  <c r="H30" i="20"/>
  <c r="J30" i="20" s="1"/>
  <c r="F30" i="20"/>
  <c r="C30" i="20"/>
  <c r="H29" i="20"/>
  <c r="J29" i="20" s="1"/>
  <c r="F29" i="20"/>
  <c r="C29" i="20"/>
  <c r="G26" i="20"/>
  <c r="F26" i="20"/>
  <c r="H26" i="20" s="1"/>
  <c r="I25" i="20"/>
  <c r="H25" i="20"/>
  <c r="J25" i="20" s="1"/>
  <c r="G25" i="20"/>
  <c r="F25" i="20"/>
  <c r="G24" i="20"/>
  <c r="F24" i="20"/>
  <c r="H24" i="20" s="1"/>
  <c r="G23" i="20"/>
  <c r="F23" i="20"/>
  <c r="H23" i="20" s="1"/>
  <c r="G22" i="20"/>
  <c r="F22" i="20"/>
  <c r="H22" i="20" s="1"/>
  <c r="G19" i="20"/>
  <c r="F19" i="20"/>
  <c r="H19" i="20" s="1"/>
  <c r="E19" i="20"/>
  <c r="H18" i="20"/>
  <c r="J18" i="20" s="1"/>
  <c r="F18" i="20"/>
  <c r="G18" i="20" s="1"/>
  <c r="E18" i="20"/>
  <c r="G17" i="20"/>
  <c r="F17" i="20"/>
  <c r="H17" i="20" s="1"/>
  <c r="E17" i="20"/>
  <c r="F16" i="20"/>
  <c r="H16" i="20" s="1"/>
  <c r="E16" i="20"/>
  <c r="G15" i="20"/>
  <c r="F15" i="20"/>
  <c r="H15" i="20" s="1"/>
  <c r="E15" i="20"/>
  <c r="H14" i="20"/>
  <c r="J14" i="20" s="1"/>
  <c r="F14" i="20"/>
  <c r="G14" i="20" s="1"/>
  <c r="E14" i="20"/>
  <c r="E20" i="20" s="1"/>
  <c r="E13" i="20"/>
  <c r="F11" i="20"/>
  <c r="H11" i="20" s="1"/>
  <c r="C11" i="20"/>
  <c r="E11" i="20" s="1"/>
  <c r="F10" i="20"/>
  <c r="H10" i="20" s="1"/>
  <c r="C10" i="20"/>
  <c r="E10" i="20" s="1"/>
  <c r="F9" i="20"/>
  <c r="H9" i="20" s="1"/>
  <c r="C9" i="20"/>
  <c r="E9" i="20" s="1"/>
  <c r="F8" i="20"/>
  <c r="H8" i="20" s="1"/>
  <c r="C8" i="20"/>
  <c r="E8" i="20" s="1"/>
  <c r="E12" i="20" s="1"/>
  <c r="I9" i="20" l="1"/>
  <c r="J9" i="20"/>
  <c r="I11" i="20"/>
  <c r="J11" i="20"/>
  <c r="K14" i="20"/>
  <c r="L14" i="20"/>
  <c r="I16" i="20"/>
  <c r="J16" i="20"/>
  <c r="I19" i="20"/>
  <c r="J19" i="20"/>
  <c r="J23" i="20"/>
  <c r="I23" i="20"/>
  <c r="J26" i="20"/>
  <c r="I26" i="20"/>
  <c r="I8" i="20"/>
  <c r="J8" i="20"/>
  <c r="I10" i="20"/>
  <c r="J10" i="20"/>
  <c r="I15" i="20"/>
  <c r="J15" i="20"/>
  <c r="K30" i="20"/>
  <c r="L30" i="20" s="1"/>
  <c r="N30" i="20" s="1"/>
  <c r="J17" i="20"/>
  <c r="I17" i="20"/>
  <c r="K18" i="20"/>
  <c r="L18" i="20"/>
  <c r="I22" i="20"/>
  <c r="J22" i="20"/>
  <c r="I24" i="20"/>
  <c r="J24" i="20"/>
  <c r="K25" i="20"/>
  <c r="L25" i="20"/>
  <c r="K29" i="20"/>
  <c r="G8" i="20"/>
  <c r="G9" i="20"/>
  <c r="G10" i="20"/>
  <c r="G11" i="20"/>
  <c r="I14" i="20"/>
  <c r="G16" i="20"/>
  <c r="G20" i="20" s="1"/>
  <c r="I18" i="20"/>
  <c r="E29" i="20"/>
  <c r="I29" i="20"/>
  <c r="E30" i="20"/>
  <c r="I30" i="20"/>
  <c r="M30" i="20"/>
  <c r="E31" i="20"/>
  <c r="I31" i="20"/>
  <c r="M31" i="20"/>
  <c r="G29" i="20"/>
  <c r="G30" i="20"/>
  <c r="G31" i="20"/>
  <c r="L22" i="20" l="1"/>
  <c r="K22" i="20"/>
  <c r="L8" i="20"/>
  <c r="K8" i="20"/>
  <c r="L16" i="20"/>
  <c r="K16" i="20"/>
  <c r="I12" i="20"/>
  <c r="I27" i="20"/>
  <c r="I20" i="20"/>
  <c r="N18" i="20"/>
  <c r="O18" i="20" s="1"/>
  <c r="M18" i="20"/>
  <c r="L10" i="20"/>
  <c r="K10" i="20"/>
  <c r="L19" i="20"/>
  <c r="K19" i="20"/>
  <c r="N14" i="20"/>
  <c r="O14" i="20" s="1"/>
  <c r="M14" i="20"/>
  <c r="L9" i="20"/>
  <c r="K9" i="20"/>
  <c r="N25" i="20"/>
  <c r="O25" i="20" s="1"/>
  <c r="M25" i="20"/>
  <c r="L15" i="20"/>
  <c r="K15" i="20"/>
  <c r="L11" i="20"/>
  <c r="K11" i="20"/>
  <c r="K17" i="20"/>
  <c r="L17" i="20"/>
  <c r="K23" i="20"/>
  <c r="L23" i="20"/>
  <c r="G32" i="20"/>
  <c r="O30" i="20"/>
  <c r="I32" i="20"/>
  <c r="I33" i="20" s="1"/>
  <c r="G12" i="20"/>
  <c r="G27" i="20" s="1"/>
  <c r="L24" i="20"/>
  <c r="K24" i="20"/>
  <c r="O31" i="20"/>
  <c r="E32" i="20"/>
  <c r="E33" i="20" s="1"/>
  <c r="K32" i="20"/>
  <c r="L29" i="20"/>
  <c r="L26" i="20"/>
  <c r="K26" i="20"/>
  <c r="K20" i="20"/>
  <c r="N29" i="20" l="1"/>
  <c r="M29" i="20"/>
  <c r="M11" i="20"/>
  <c r="N11" i="20"/>
  <c r="O11" i="20" s="1"/>
  <c r="G33" i="20"/>
  <c r="M15" i="20"/>
  <c r="N15" i="20"/>
  <c r="O15" i="20" s="1"/>
  <c r="O20" i="20" s="1"/>
  <c r="M9" i="20"/>
  <c r="N9" i="20"/>
  <c r="O9" i="20" s="1"/>
  <c r="M19" i="20"/>
  <c r="N19" i="20"/>
  <c r="O19" i="20" s="1"/>
  <c r="M10" i="20"/>
  <c r="N10" i="20"/>
  <c r="O10" i="20" s="1"/>
  <c r="K27" i="20"/>
  <c r="K33" i="20" s="1"/>
  <c r="K12" i="20"/>
  <c r="N24" i="20"/>
  <c r="O24" i="20" s="1"/>
  <c r="M24" i="20"/>
  <c r="N17" i="20"/>
  <c r="O17" i="20" s="1"/>
  <c r="M17" i="20"/>
  <c r="M8" i="20"/>
  <c r="N8" i="20"/>
  <c r="O8" i="20" s="1"/>
  <c r="M26" i="20"/>
  <c r="N26" i="20"/>
  <c r="O26" i="20" s="1"/>
  <c r="N23" i="20"/>
  <c r="O23" i="20" s="1"/>
  <c r="M23" i="20"/>
  <c r="M20" i="20"/>
  <c r="M16" i="20"/>
  <c r="N16" i="20"/>
  <c r="O16" i="20" s="1"/>
  <c r="M22" i="20"/>
  <c r="N22" i="20"/>
  <c r="O22" i="20" s="1"/>
  <c r="O12" i="20" l="1"/>
  <c r="O27" i="20" s="1"/>
  <c r="M12" i="20"/>
  <c r="M27" i="20" s="1"/>
  <c r="O29" i="20"/>
  <c r="O32" i="20" s="1"/>
  <c r="M32" i="20"/>
  <c r="M33" i="20" l="1"/>
  <c r="O33" i="20"/>
  <c r="B99" i="13" l="1"/>
  <c r="D54" i="3" l="1"/>
  <c r="E54" i="3"/>
  <c r="F54" i="3"/>
  <c r="G54" i="3"/>
  <c r="H54" i="3"/>
  <c r="I54" i="3"/>
  <c r="J54" i="3"/>
  <c r="C54" i="3"/>
  <c r="D71" i="3"/>
  <c r="E71" i="3"/>
  <c r="F71" i="3"/>
  <c r="G71" i="3"/>
  <c r="H71" i="3"/>
  <c r="I71" i="3"/>
  <c r="J71" i="3"/>
  <c r="C71" i="3"/>
  <c r="L133" i="3" l="1"/>
  <c r="L134" i="3"/>
  <c r="L135" i="3"/>
  <c r="L136" i="3"/>
  <c r="L137" i="3"/>
  <c r="L138" i="3"/>
  <c r="L139" i="3"/>
  <c r="L140" i="3"/>
  <c r="L141" i="3"/>
  <c r="L142" i="3"/>
  <c r="L143" i="3"/>
  <c r="L144" i="3"/>
  <c r="L132" i="3"/>
  <c r="H8" i="16"/>
  <c r="G8" i="16"/>
  <c r="F7" i="16"/>
  <c r="F6" i="16"/>
  <c r="F5" i="16"/>
  <c r="C8" i="16"/>
  <c r="F8" i="16" s="1"/>
  <c r="E8" i="16"/>
  <c r="D8" i="16"/>
  <c r="D26" i="7"/>
  <c r="E26" i="7"/>
  <c r="F26" i="7"/>
  <c r="G26" i="7"/>
  <c r="H26" i="7"/>
  <c r="I26" i="7"/>
  <c r="J26" i="7"/>
  <c r="C26" i="7"/>
  <c r="J11" i="15" l="1"/>
  <c r="I11" i="15"/>
  <c r="G11" i="15"/>
  <c r="F11" i="15"/>
  <c r="E11" i="15"/>
  <c r="D11" i="15"/>
  <c r="C11" i="15"/>
  <c r="H11" i="15"/>
  <c r="C39" i="14"/>
  <c r="F38" i="14"/>
  <c r="G38" i="14" s="1"/>
  <c r="F37" i="14"/>
  <c r="G37" i="14" s="1"/>
  <c r="G36" i="14"/>
  <c r="F36" i="14"/>
  <c r="F35" i="14"/>
  <c r="G35" i="14" s="1"/>
  <c r="F34" i="14"/>
  <c r="G34" i="14" s="1"/>
  <c r="F33" i="14"/>
  <c r="G33" i="14" s="1"/>
  <c r="F32" i="14"/>
  <c r="G32" i="14" s="1"/>
  <c r="F31" i="14"/>
  <c r="G31" i="14" s="1"/>
  <c r="F30" i="14"/>
  <c r="G30" i="14" s="1"/>
  <c r="F29" i="14"/>
  <c r="G29" i="14" s="1"/>
  <c r="F28" i="14"/>
  <c r="G28" i="14" s="1"/>
  <c r="F27" i="14"/>
  <c r="G27" i="14" s="1"/>
  <c r="D26" i="14"/>
  <c r="D27" i="14" s="1"/>
  <c r="D28" i="14" s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C19" i="14"/>
  <c r="F18" i="14"/>
  <c r="G18" i="14" s="1"/>
  <c r="F17" i="14"/>
  <c r="G17" i="14" s="1"/>
  <c r="F16" i="14"/>
  <c r="G16" i="14" s="1"/>
  <c r="F15" i="14"/>
  <c r="G15" i="14" s="1"/>
  <c r="G14" i="14"/>
  <c r="F14" i="14"/>
  <c r="F13" i="14"/>
  <c r="G13" i="14" s="1"/>
  <c r="F12" i="14"/>
  <c r="G12" i="14" s="1"/>
  <c r="G11" i="14"/>
  <c r="F11" i="14"/>
  <c r="F10" i="14"/>
  <c r="G10" i="14" s="1"/>
  <c r="F9" i="14"/>
  <c r="G9" i="14" s="1"/>
  <c r="F8" i="14"/>
  <c r="G8" i="14" s="1"/>
  <c r="F7" i="14"/>
  <c r="G7" i="14" s="1"/>
  <c r="D6" i="14"/>
  <c r="F6" i="14" s="1"/>
  <c r="G6" i="14" s="1"/>
  <c r="B88" i="13"/>
  <c r="B90" i="13" s="1"/>
  <c r="D77" i="13"/>
  <c r="C41" i="13"/>
  <c r="D20" i="12"/>
  <c r="C20" i="12"/>
  <c r="B20" i="12"/>
  <c r="E19" i="12"/>
  <c r="E20" i="12" s="1"/>
  <c r="E49" i="11"/>
  <c r="C49" i="11"/>
  <c r="B49" i="11"/>
  <c r="D46" i="11"/>
  <c r="D49" i="11" s="1"/>
  <c r="E45" i="11"/>
  <c r="D45" i="11"/>
  <c r="C45" i="11"/>
  <c r="B45" i="11"/>
  <c r="E40" i="11"/>
  <c r="C40" i="11"/>
  <c r="B40" i="11"/>
  <c r="D31" i="11"/>
  <c r="D30" i="11"/>
  <c r="D9" i="11"/>
  <c r="D40" i="11" s="1"/>
  <c r="K74" i="10"/>
  <c r="L27" i="10"/>
  <c r="I27" i="10"/>
  <c r="F22" i="10"/>
  <c r="F21" i="10"/>
  <c r="F27" i="10" s="1"/>
  <c r="B21" i="10"/>
  <c r="B26" i="10" s="1"/>
  <c r="B31" i="10" s="1"/>
  <c r="D31" i="10" s="1"/>
  <c r="F20" i="10"/>
  <c r="B20" i="10"/>
  <c r="B25" i="10" s="1"/>
  <c r="B30" i="10" s="1"/>
  <c r="D30" i="10" s="1"/>
  <c r="B19" i="10"/>
  <c r="B24" i="10" s="1"/>
  <c r="D12" i="10"/>
  <c r="G11" i="10"/>
  <c r="H11" i="10" s="1"/>
  <c r="F11" i="10"/>
  <c r="F10" i="10"/>
  <c r="E9" i="10"/>
  <c r="E12" i="10" s="1"/>
  <c r="F8" i="10"/>
  <c r="H7" i="10"/>
  <c r="F7" i="10"/>
  <c r="H6" i="10"/>
  <c r="F6" i="10"/>
  <c r="H5" i="10"/>
  <c r="F5" i="10"/>
  <c r="H4" i="10"/>
  <c r="F4" i="10"/>
  <c r="J77" i="9"/>
  <c r="I76" i="9"/>
  <c r="G76" i="9"/>
  <c r="K75" i="9"/>
  <c r="E74" i="9"/>
  <c r="G73" i="9"/>
  <c r="H73" i="9" s="1"/>
  <c r="I73" i="9" s="1"/>
  <c r="K73" i="9" s="1"/>
  <c r="G72" i="9"/>
  <c r="H72" i="9" s="1"/>
  <c r="I72" i="9" s="1"/>
  <c r="K72" i="9" s="1"/>
  <c r="H71" i="9"/>
  <c r="I71" i="9" s="1"/>
  <c r="K71" i="9" s="1"/>
  <c r="G71" i="9"/>
  <c r="K70" i="9"/>
  <c r="G69" i="9"/>
  <c r="H69" i="9" s="1"/>
  <c r="I69" i="9" s="1"/>
  <c r="K69" i="9" s="1"/>
  <c r="G68" i="9"/>
  <c r="H68" i="9" s="1"/>
  <c r="I68" i="9" s="1"/>
  <c r="K68" i="9" s="1"/>
  <c r="G67" i="9"/>
  <c r="H67" i="9" s="1"/>
  <c r="I67" i="9" s="1"/>
  <c r="K67" i="9" s="1"/>
  <c r="G66" i="9"/>
  <c r="H66" i="9" s="1"/>
  <c r="I66" i="9" s="1"/>
  <c r="K66" i="9" s="1"/>
  <c r="G65" i="9"/>
  <c r="H65" i="9" s="1"/>
  <c r="I65" i="9" s="1"/>
  <c r="K65" i="9" s="1"/>
  <c r="K64" i="9"/>
  <c r="G63" i="9"/>
  <c r="H63" i="9" s="1"/>
  <c r="I63" i="9" s="1"/>
  <c r="K63" i="9" s="1"/>
  <c r="G62" i="9"/>
  <c r="H62" i="9" s="1"/>
  <c r="I62" i="9" s="1"/>
  <c r="K62" i="9" s="1"/>
  <c r="G61" i="9"/>
  <c r="H61" i="9" s="1"/>
  <c r="I61" i="9" s="1"/>
  <c r="K61" i="9" s="1"/>
  <c r="K60" i="9"/>
  <c r="G59" i="9"/>
  <c r="H59" i="9" s="1"/>
  <c r="I59" i="9" s="1"/>
  <c r="K59" i="9" s="1"/>
  <c r="I58" i="9"/>
  <c r="K58" i="9" s="1"/>
  <c r="G57" i="9"/>
  <c r="H57" i="9" s="1"/>
  <c r="I57" i="9" s="1"/>
  <c r="K57" i="9" s="1"/>
  <c r="G56" i="9"/>
  <c r="H56" i="9" s="1"/>
  <c r="I56" i="9" s="1"/>
  <c r="K56" i="9" s="1"/>
  <c r="K55" i="9"/>
  <c r="K54" i="9"/>
  <c r="K53" i="9"/>
  <c r="H52" i="9"/>
  <c r="I52" i="9" s="1"/>
  <c r="K52" i="9" s="1"/>
  <c r="G52" i="9"/>
  <c r="K51" i="9"/>
  <c r="K50" i="9"/>
  <c r="K49" i="9"/>
  <c r="K48" i="9"/>
  <c r="G48" i="9"/>
  <c r="K47" i="9"/>
  <c r="K46" i="9"/>
  <c r="G46" i="9"/>
  <c r="K45" i="9"/>
  <c r="K44" i="9"/>
  <c r="G43" i="9"/>
  <c r="H43" i="9" s="1"/>
  <c r="I43" i="9" s="1"/>
  <c r="K43" i="9" s="1"/>
  <c r="K42" i="9"/>
  <c r="G42" i="9"/>
  <c r="H42" i="9" s="1"/>
  <c r="K41" i="9"/>
  <c r="H41" i="9"/>
  <c r="G41" i="9"/>
  <c r="G40" i="9"/>
  <c r="H40" i="9" s="1"/>
  <c r="I40" i="9" s="1"/>
  <c r="K40" i="9" s="1"/>
  <c r="H39" i="9"/>
  <c r="I39" i="9" s="1"/>
  <c r="K39" i="9" s="1"/>
  <c r="G39" i="9"/>
  <c r="K38" i="9"/>
  <c r="G37" i="9"/>
  <c r="H37" i="9" s="1"/>
  <c r="I37" i="9" s="1"/>
  <c r="K37" i="9" s="1"/>
  <c r="K36" i="9"/>
  <c r="G35" i="9"/>
  <c r="H35" i="9" s="1"/>
  <c r="K34" i="9"/>
  <c r="K33" i="9"/>
  <c r="K32" i="9"/>
  <c r="K31" i="9"/>
  <c r="E29" i="9"/>
  <c r="H28" i="9"/>
  <c r="G28" i="9"/>
  <c r="G27" i="9"/>
  <c r="G29" i="9" s="1"/>
  <c r="G25" i="9"/>
  <c r="H25" i="9" s="1"/>
  <c r="I25" i="9" s="1"/>
  <c r="K25" i="9" s="1"/>
  <c r="K24" i="9"/>
  <c r="G23" i="9"/>
  <c r="H23" i="9" s="1"/>
  <c r="I23" i="9" s="1"/>
  <c r="K23" i="9" s="1"/>
  <c r="K22" i="9"/>
  <c r="K21" i="9"/>
  <c r="K20" i="9"/>
  <c r="E19" i="9"/>
  <c r="E26" i="9" s="1"/>
  <c r="G18" i="9"/>
  <c r="H18" i="9" s="1"/>
  <c r="I18" i="9" s="1"/>
  <c r="K18" i="9" s="1"/>
  <c r="G17" i="9"/>
  <c r="H17" i="9" s="1"/>
  <c r="I17" i="9" s="1"/>
  <c r="K17" i="9" s="1"/>
  <c r="K16" i="9"/>
  <c r="G15" i="9"/>
  <c r="K14" i="9"/>
  <c r="G12" i="9"/>
  <c r="H12" i="9" s="1"/>
  <c r="I12" i="9" s="1"/>
  <c r="K12" i="9" s="1"/>
  <c r="K11" i="9"/>
  <c r="G10" i="9"/>
  <c r="H10" i="9" s="1"/>
  <c r="I10" i="9" s="1"/>
  <c r="K10" i="9" s="1"/>
  <c r="K9" i="9"/>
  <c r="G8" i="9"/>
  <c r="H8" i="9" s="1"/>
  <c r="I8" i="9" s="1"/>
  <c r="K8" i="9" s="1"/>
  <c r="G7" i="9"/>
  <c r="H7" i="9" s="1"/>
  <c r="I7" i="9" s="1"/>
  <c r="K7" i="9" s="1"/>
  <c r="G6" i="9"/>
  <c r="H6" i="9" s="1"/>
  <c r="I6" i="9" s="1"/>
  <c r="K6" i="9" s="1"/>
  <c r="K5" i="9"/>
  <c r="E4" i="9"/>
  <c r="G4" i="9" s="1"/>
  <c r="K3" i="9"/>
  <c r="E58" i="8"/>
  <c r="E69" i="8" s="1"/>
  <c r="B69" i="8"/>
  <c r="B46" i="8"/>
  <c r="B41" i="8"/>
  <c r="B40" i="8"/>
  <c r="B39" i="8"/>
  <c r="E26" i="8"/>
  <c r="E27" i="8" s="1"/>
  <c r="E28" i="8" s="1"/>
  <c r="B25" i="8"/>
  <c r="B23" i="8"/>
  <c r="B34" i="8" s="1"/>
  <c r="B13" i="8"/>
  <c r="B12" i="8"/>
  <c r="D15" i="8"/>
  <c r="D18" i="8" s="1"/>
  <c r="E18" i="8" s="1"/>
  <c r="D14" i="8"/>
  <c r="E13" i="8"/>
  <c r="D12" i="8"/>
  <c r="E12" i="8" s="1"/>
  <c r="E11" i="8"/>
  <c r="E10" i="8"/>
  <c r="E9" i="8"/>
  <c r="B9" i="8"/>
  <c r="E8" i="8"/>
  <c r="E7" i="8"/>
  <c r="E6" i="8"/>
  <c r="E5" i="8"/>
  <c r="E4" i="8"/>
  <c r="B53" i="11" l="1"/>
  <c r="B54" i="11" s="1"/>
  <c r="C53" i="11"/>
  <c r="E53" i="11"/>
  <c r="E54" i="11" s="1"/>
  <c r="D53" i="11"/>
  <c r="D54" i="11" s="1"/>
  <c r="G74" i="9"/>
  <c r="H27" i="9"/>
  <c r="I27" i="9" s="1"/>
  <c r="K27" i="9" s="1"/>
  <c r="F23" i="10"/>
  <c r="G19" i="14"/>
  <c r="D7" i="14"/>
  <c r="D8" i="14" s="1"/>
  <c r="D9" i="14" s="1"/>
  <c r="D10" i="14" s="1"/>
  <c r="D11" i="14" s="1"/>
  <c r="D12" i="14" s="1"/>
  <c r="D13" i="14" s="1"/>
  <c r="D14" i="14" s="1"/>
  <c r="D15" i="14" s="1"/>
  <c r="D16" i="14" s="1"/>
  <c r="D17" i="14" s="1"/>
  <c r="D18" i="14" s="1"/>
  <c r="D19" i="14" s="1"/>
  <c r="D42" i="14" s="1"/>
  <c r="F26" i="14"/>
  <c r="G26" i="14" s="1"/>
  <c r="G39" i="14" s="1"/>
  <c r="H12" i="10"/>
  <c r="J11" i="10"/>
  <c r="H27" i="10"/>
  <c r="F12" i="10"/>
  <c r="B27" i="10"/>
  <c r="B29" i="10"/>
  <c r="F28" i="10"/>
  <c r="F29" i="10" s="1"/>
  <c r="F30" i="10" s="1"/>
  <c r="F9" i="10"/>
  <c r="B22" i="10"/>
  <c r="H15" i="9"/>
  <c r="H29" i="9"/>
  <c r="I28" i="9"/>
  <c r="I35" i="9"/>
  <c r="H74" i="9"/>
  <c r="G13" i="9"/>
  <c r="H4" i="9"/>
  <c r="E13" i="9"/>
  <c r="E30" i="9" s="1"/>
  <c r="E77" i="9" s="1"/>
  <c r="G19" i="9"/>
  <c r="H19" i="9" s="1"/>
  <c r="I19" i="9" s="1"/>
  <c r="K19" i="9" s="1"/>
  <c r="K76" i="9"/>
  <c r="B18" i="8"/>
  <c r="B17" i="8" s="1"/>
  <c r="B14" i="8" s="1"/>
  <c r="B15" i="8" s="1"/>
  <c r="B48" i="8"/>
  <c r="D19" i="8"/>
  <c r="E15" i="8"/>
  <c r="E19" i="8" s="1"/>
  <c r="G42" i="14" l="1"/>
  <c r="H28" i="10"/>
  <c r="H29" i="10" s="1"/>
  <c r="H30" i="10" s="1"/>
  <c r="H31" i="10"/>
  <c r="D29" i="10"/>
  <c r="D32" i="10" s="1"/>
  <c r="B32" i="10"/>
  <c r="F31" i="10"/>
  <c r="I29" i="9"/>
  <c r="K29" i="9" s="1"/>
  <c r="K28" i="9"/>
  <c r="I15" i="9"/>
  <c r="H26" i="9"/>
  <c r="I4" i="9"/>
  <c r="H13" i="9"/>
  <c r="H30" i="9" s="1"/>
  <c r="H77" i="9" s="1"/>
  <c r="I74" i="9"/>
  <c r="K35" i="9"/>
  <c r="G26" i="9"/>
  <c r="G30" i="9" s="1"/>
  <c r="G77" i="9" s="1"/>
  <c r="K4" i="9" l="1"/>
  <c r="I13" i="9"/>
  <c r="K74" i="9"/>
  <c r="K15" i="9"/>
  <c r="I26" i="9"/>
  <c r="K26" i="9" s="1"/>
  <c r="B31" i="13" l="1"/>
  <c r="I30" i="9"/>
  <c r="K13" i="9"/>
  <c r="B10" i="13" l="1"/>
  <c r="D31" i="13"/>
  <c r="K30" i="9"/>
  <c r="I77" i="9"/>
  <c r="K77" i="9" s="1"/>
  <c r="B32" i="13" l="1"/>
  <c r="D10" i="13"/>
  <c r="D27" i="7"/>
  <c r="J15" i="7"/>
  <c r="I15" i="7"/>
  <c r="F15" i="7"/>
  <c r="E15" i="7"/>
  <c r="D15" i="7"/>
  <c r="H11" i="7"/>
  <c r="H10" i="7"/>
  <c r="C10" i="7"/>
  <c r="C15" i="7" s="1"/>
  <c r="H9" i="7"/>
  <c r="G9" i="7"/>
  <c r="H6" i="7"/>
  <c r="G6" i="7"/>
  <c r="C27" i="7" l="1"/>
  <c r="J27" i="7"/>
  <c r="F27" i="7"/>
  <c r="I27" i="7"/>
  <c r="E27" i="7"/>
  <c r="D32" i="13"/>
  <c r="B11" i="13"/>
  <c r="D11" i="13" s="1"/>
  <c r="G15" i="7"/>
  <c r="G27" i="7" s="1"/>
  <c r="H15" i="7"/>
  <c r="H27" i="7" s="1"/>
  <c r="B12" i="13" l="1"/>
  <c r="D12" i="13" s="1"/>
  <c r="B33" i="13"/>
  <c r="D7" i="4"/>
  <c r="E7" i="4"/>
  <c r="F7" i="4"/>
  <c r="G7" i="4"/>
  <c r="H7" i="4"/>
  <c r="I7" i="4"/>
  <c r="J7" i="4"/>
  <c r="C7" i="4"/>
  <c r="K43" i="3"/>
  <c r="K44" i="3"/>
  <c r="K45" i="3"/>
  <c r="K46" i="3"/>
  <c r="K47" i="3"/>
  <c r="K48" i="3"/>
  <c r="K49" i="3"/>
  <c r="K50" i="3"/>
  <c r="K51" i="3"/>
  <c r="K52" i="3"/>
  <c r="K53" i="3"/>
  <c r="K42" i="3"/>
  <c r="K54" i="3" s="1"/>
  <c r="K96" i="3"/>
  <c r="K97" i="3"/>
  <c r="K98" i="3"/>
  <c r="K99" i="3"/>
  <c r="K100" i="3"/>
  <c r="K101" i="3"/>
  <c r="K102" i="3"/>
  <c r="K103" i="3"/>
  <c r="K104" i="3"/>
  <c r="K105" i="3"/>
  <c r="K106" i="3"/>
  <c r="K95" i="3"/>
  <c r="I107" i="3"/>
  <c r="H107" i="3"/>
  <c r="K107" i="3" l="1"/>
  <c r="B13" i="13"/>
  <c r="B53" i="13"/>
  <c r="D53" i="13" s="1"/>
  <c r="D33" i="13"/>
  <c r="K78" i="3"/>
  <c r="K79" i="3"/>
  <c r="K80" i="3"/>
  <c r="K81" i="3"/>
  <c r="K82" i="3"/>
  <c r="K83" i="3"/>
  <c r="K84" i="3"/>
  <c r="K85" i="3"/>
  <c r="K86" i="3"/>
  <c r="K87" i="3"/>
  <c r="K88" i="3"/>
  <c r="K77" i="3"/>
  <c r="I89" i="3"/>
  <c r="H89" i="3"/>
  <c r="K89" i="3" l="1"/>
  <c r="B54" i="13"/>
  <c r="D54" i="13" s="1"/>
  <c r="B34" i="13"/>
  <c r="D34" i="13" s="1"/>
  <c r="D13" i="13"/>
  <c r="K60" i="3"/>
  <c r="K61" i="3"/>
  <c r="K62" i="3"/>
  <c r="K63" i="3"/>
  <c r="K64" i="3"/>
  <c r="K65" i="3"/>
  <c r="K66" i="3"/>
  <c r="K67" i="3"/>
  <c r="K68" i="3"/>
  <c r="K69" i="3"/>
  <c r="K70" i="3"/>
  <c r="K59" i="3"/>
  <c r="K71" i="3" l="1"/>
  <c r="B35" i="13"/>
  <c r="D35" i="13" s="1"/>
  <c r="B55" i="13"/>
  <c r="D55" i="13" s="1"/>
  <c r="B14" i="13"/>
  <c r="D14" i="13" s="1"/>
  <c r="B15" i="13" l="1"/>
  <c r="D15" i="13" s="1"/>
  <c r="B36" i="13"/>
  <c r="D36" i="13" s="1"/>
  <c r="B56" i="13"/>
  <c r="D56" i="13" s="1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D14" i="2"/>
  <c r="B16" i="13" l="1"/>
  <c r="D16" i="13" s="1"/>
  <c r="B37" i="13"/>
  <c r="D37" i="13" s="1"/>
  <c r="B57" i="13"/>
  <c r="D57" i="13" s="1"/>
  <c r="S9" i="2"/>
  <c r="Q9" i="2"/>
  <c r="O9" i="2"/>
  <c r="M9" i="2"/>
  <c r="K9" i="2"/>
  <c r="I9" i="2"/>
  <c r="G9" i="2"/>
  <c r="E9" i="2"/>
  <c r="B38" i="13" l="1"/>
  <c r="D38" i="13" s="1"/>
  <c r="B58" i="13"/>
  <c r="D58" i="13" s="1"/>
  <c r="B17" i="13"/>
  <c r="D17" i="13" s="1"/>
  <c r="S8" i="2"/>
  <c r="S6" i="2"/>
  <c r="S5" i="2"/>
  <c r="B59" i="13" l="1"/>
  <c r="D59" i="13" s="1"/>
  <c r="B18" i="13"/>
  <c r="D18" i="13" s="1"/>
  <c r="B39" i="13"/>
  <c r="D39" i="13" s="1"/>
  <c r="J14" i="1"/>
  <c r="K14" i="1"/>
  <c r="B40" i="13" l="1"/>
  <c r="D40" i="13" s="1"/>
  <c r="B60" i="13"/>
  <c r="D60" i="13" s="1"/>
  <c r="B19" i="13"/>
  <c r="D19" i="13" s="1"/>
  <c r="E14" i="1"/>
  <c r="F14" i="1"/>
  <c r="G14" i="1"/>
  <c r="H14" i="1"/>
  <c r="I14" i="1"/>
  <c r="B41" i="13" l="1"/>
  <c r="B43" i="13" s="1"/>
  <c r="B61" i="13"/>
  <c r="D61" i="13" s="1"/>
  <c r="B20" i="13"/>
  <c r="B22" i="13" s="1"/>
  <c r="D14" i="1"/>
  <c r="D20" i="13" l="1"/>
  <c r="B62" i="13"/>
  <c r="B65" i="13" s="1"/>
  <c r="B68" i="13" s="1"/>
  <c r="D41" i="13"/>
  <c r="E90" i="13" l="1"/>
  <c r="D6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otal dec ht" type="6" refreshedVersion="3" background="1" saveData="1">
    <textPr codePage="437" sourceFile="\\Hcl2-pc\d\L C\BILLING DATA-2015-2016-2017-2018-2019-2020\BILLING DATA - 2021\BILLING DATA DECEMBER-2021\UPLOAD\HV\HT BILLING\total dec ht.txt" delimited="0">
      <textFields count="57">
        <textField/>
        <textField position="11"/>
        <textField position="16"/>
        <textField position="46"/>
        <textField position="66"/>
        <textField position="86"/>
        <textField position="106"/>
        <textField position="109"/>
        <textField position="116"/>
        <textField position="126"/>
        <textField position="129"/>
        <textField position="146"/>
        <textField position="150"/>
        <textField position="165"/>
        <textField position="177"/>
        <textField position="199"/>
        <textField position="207"/>
        <textField position="217"/>
        <textField position="225"/>
        <textField position="235"/>
        <textField position="243"/>
        <textField position="250"/>
        <textField position="258"/>
        <textField position="269"/>
        <textField position="277"/>
        <textField position="287"/>
        <textField position="304"/>
        <textField position="312"/>
        <textField position="318"/>
        <textField position="346"/>
        <textField position="372"/>
        <textField position="381"/>
        <textField position="394"/>
        <textField position="413"/>
        <textField position="436"/>
        <textField position="447"/>
        <textField position="459"/>
        <textField position="472"/>
        <textField position="505"/>
        <textField position="516"/>
        <textField position="527"/>
        <textField position="538"/>
        <textField position="546"/>
        <textField position="552"/>
        <textField position="576"/>
        <textField position="584"/>
        <textField position="593"/>
        <textField position="600"/>
        <textField position="612"/>
        <textField position="619"/>
        <textField position="644"/>
        <textField position="647"/>
        <textField position="656"/>
        <textField position="675"/>
        <textField position="686"/>
        <textField position="717"/>
        <textField position="722"/>
      </textFields>
    </textPr>
  </connection>
</connections>
</file>

<file path=xl/sharedStrings.xml><?xml version="1.0" encoding="utf-8"?>
<sst xmlns="http://schemas.openxmlformats.org/spreadsheetml/2006/main" count="1260" uniqueCount="806">
  <si>
    <t>THE CO-OPERATIVE ELECTRIC SUPPLY SOCIETY LIMTED SIRCILLA</t>
  </si>
  <si>
    <t>Sl.No</t>
  </si>
  <si>
    <t>Category</t>
  </si>
  <si>
    <t>2015-16</t>
  </si>
  <si>
    <t>2016-17</t>
  </si>
  <si>
    <t>2017-18</t>
  </si>
  <si>
    <t>Domestic</t>
  </si>
  <si>
    <t>Commercial</t>
  </si>
  <si>
    <t>Industrial</t>
  </si>
  <si>
    <t>Cott.Industries</t>
  </si>
  <si>
    <t>Agircultural</t>
  </si>
  <si>
    <t>St.Lights</t>
  </si>
  <si>
    <t>Water Works</t>
  </si>
  <si>
    <t>General</t>
  </si>
  <si>
    <t>2018-19</t>
  </si>
  <si>
    <t>2019-20</t>
  </si>
  <si>
    <t>2020-21</t>
  </si>
  <si>
    <t>Voltage</t>
  </si>
  <si>
    <t>LT</t>
  </si>
  <si>
    <t>Services</t>
  </si>
  <si>
    <t xml:space="preserve">TOTAL </t>
  </si>
  <si>
    <t>2021-22</t>
  </si>
  <si>
    <t>2022-23</t>
  </si>
  <si>
    <t>H.T. industry General</t>
  </si>
  <si>
    <t>Contracted Load
KWH/HP</t>
  </si>
  <si>
    <t>THE CO-OPERATIVE ELECTRIC SUPPLY SOCIETY LTD SIRCILLA</t>
  </si>
  <si>
    <t>STATEMENT SHOWING THE PARTICULARS OF CATEGORY WISE &amp; MONTH WISE (UNITS)</t>
  </si>
  <si>
    <t>DURING FY 2015-16</t>
  </si>
  <si>
    <t>SL.NO</t>
  </si>
  <si>
    <t>MONTH'S</t>
  </si>
  <si>
    <t>CAT I</t>
  </si>
  <si>
    <t>CAT II</t>
  </si>
  <si>
    <t>CAT III</t>
  </si>
  <si>
    <t>CAT IV</t>
  </si>
  <si>
    <t>CAT V</t>
  </si>
  <si>
    <t>CAT VI A</t>
  </si>
  <si>
    <t>CAT-VIB</t>
  </si>
  <si>
    <t>CAT VII</t>
  </si>
  <si>
    <t>TOTAL</t>
  </si>
  <si>
    <t>April-15 in May-15</t>
  </si>
  <si>
    <t>May-15 in June-15</t>
  </si>
  <si>
    <t>June-15 in July-15</t>
  </si>
  <si>
    <t>July-15 in August-15</t>
  </si>
  <si>
    <t>August-15 in Sep-15</t>
  </si>
  <si>
    <t>Sep-15 in Oct-15</t>
  </si>
  <si>
    <t>Oct-15 In Nov-15</t>
  </si>
  <si>
    <t>Nov-15 in Dec-15</t>
  </si>
  <si>
    <t>Dec-15 in Jan-16</t>
  </si>
  <si>
    <t>Jan-16 in Feb-16</t>
  </si>
  <si>
    <t>Feb-16 in Mar-16</t>
  </si>
  <si>
    <t>Mar-16 in Apr-16</t>
  </si>
  <si>
    <t>DURING FY 2016-17</t>
  </si>
  <si>
    <t>April-16 in May-16</t>
  </si>
  <si>
    <t>May-16 in June-16</t>
  </si>
  <si>
    <t>June-16 in July-16</t>
  </si>
  <si>
    <t>July-16 in August-16</t>
  </si>
  <si>
    <t>August-16 in Sep-16</t>
  </si>
  <si>
    <t>Sep-16 in Oct-16</t>
  </si>
  <si>
    <t>Oct-16 In Nov-16</t>
  </si>
  <si>
    <t>Nov-16 in Dec-16</t>
  </si>
  <si>
    <t>Dec-16 in Jan-17</t>
  </si>
  <si>
    <t>Jan-17 in Feb-17</t>
  </si>
  <si>
    <t>Feb-17 in Mar-17</t>
  </si>
  <si>
    <t>Mar-17 in Apr-17</t>
  </si>
  <si>
    <t>DURING YEAR (2017 - 18)</t>
  </si>
  <si>
    <t>April-17 in May-17</t>
  </si>
  <si>
    <t>May-17 in June-17</t>
  </si>
  <si>
    <t>June-17 in July-17</t>
  </si>
  <si>
    <t>July-17 in August-17</t>
  </si>
  <si>
    <t>August-17 in Sep-17</t>
  </si>
  <si>
    <t>Sep-17 in Oct-17</t>
  </si>
  <si>
    <t>Oct-17 In Nov-17</t>
  </si>
  <si>
    <t>Nov-17 in Dec-17</t>
  </si>
  <si>
    <t>Dec-17 in Jan-18</t>
  </si>
  <si>
    <t>Jan-18 in Feb-18</t>
  </si>
  <si>
    <t>Feb-18 in Mar-18</t>
  </si>
  <si>
    <t>Mar-18 in Apr-18</t>
  </si>
  <si>
    <t>DURING YEAR (2018 - 19)</t>
  </si>
  <si>
    <t>April-18 in May-18</t>
  </si>
  <si>
    <t>May-18 in June-18</t>
  </si>
  <si>
    <t>June-18 in July-18</t>
  </si>
  <si>
    <t>July-18 in August-18</t>
  </si>
  <si>
    <t>August-18 in Sep-18</t>
  </si>
  <si>
    <t>Sep-18 in Oct-18</t>
  </si>
  <si>
    <t>Oct-18 In Nov-18</t>
  </si>
  <si>
    <t>Nov-18 in Dec-18</t>
  </si>
  <si>
    <t>Dec-18 in Jan-19</t>
  </si>
  <si>
    <t>Jan-19 in Feb-19</t>
  </si>
  <si>
    <t>Feb-19 in Mar-19</t>
  </si>
  <si>
    <t>Mar-19 in Apr-19</t>
  </si>
  <si>
    <t>DURING YEAR (2019 - 20)</t>
  </si>
  <si>
    <t>April-19 in May-19</t>
  </si>
  <si>
    <t>May-19 in June-19</t>
  </si>
  <si>
    <t>June-19 in July-19</t>
  </si>
  <si>
    <t>July-19 in August-19</t>
  </si>
  <si>
    <t>August-19 in Sep-19</t>
  </si>
  <si>
    <t>Sep-19 in Oct-19</t>
  </si>
  <si>
    <t>Oct-19 In Nov-19</t>
  </si>
  <si>
    <t>Nov-19 in Dec-19</t>
  </si>
  <si>
    <t>Dec-19 in Jan-20</t>
  </si>
  <si>
    <t>Jan-20 in Feb-20</t>
  </si>
  <si>
    <t>Feb-20 in Mar-20</t>
  </si>
  <si>
    <t>Mar-20 in Apr-20</t>
  </si>
  <si>
    <t>DURING YEAR (2020- 21)</t>
  </si>
  <si>
    <t>April-20 in May-20</t>
  </si>
  <si>
    <t>May-20 in June-20</t>
  </si>
  <si>
    <t>June-20 in July-20</t>
  </si>
  <si>
    <t>July-20 in August-20</t>
  </si>
  <si>
    <t>August-20 in Sep-20</t>
  </si>
  <si>
    <t>Sep-20 in Oct-20</t>
  </si>
  <si>
    <t>Oct-20 In Nov-20</t>
  </si>
  <si>
    <t>Nov-20 in Dec-20</t>
  </si>
  <si>
    <t>Dec-20 in Jan-21</t>
  </si>
  <si>
    <t>Jan-21 in Feb-21</t>
  </si>
  <si>
    <t>Feb-21 in Mar-21</t>
  </si>
  <si>
    <t>Mar-21 in Apr-21</t>
  </si>
  <si>
    <t>DURING YEAR (2021- 22)</t>
  </si>
  <si>
    <t>CAT-V</t>
  </si>
  <si>
    <t>April-21 in May-21</t>
  </si>
  <si>
    <t>May-21 in June-21</t>
  </si>
  <si>
    <t>June-21 in July-21</t>
  </si>
  <si>
    <t>July-21 in August-21</t>
  </si>
  <si>
    <t>August-21 in Sep-21</t>
  </si>
  <si>
    <t>Sep-21 in Oct-21</t>
  </si>
  <si>
    <t>Oct-21 In Nov-21</t>
  </si>
  <si>
    <t>Nov-21 in Dec-21</t>
  </si>
  <si>
    <t>Dec-21 in Jan-21</t>
  </si>
  <si>
    <t>DURING YEAR (2022- 23)</t>
  </si>
  <si>
    <t>H.T.-I
Industy
General</t>
  </si>
  <si>
    <t>April-22 in May-22</t>
  </si>
  <si>
    <t>May-22 in June-22</t>
  </si>
  <si>
    <t>June-22 in July-22</t>
  </si>
  <si>
    <t>July-22 in August-22</t>
  </si>
  <si>
    <t>August-22 in Sep-22</t>
  </si>
  <si>
    <t>Sep-22 in Oct-22</t>
  </si>
  <si>
    <t>Oct-22 In Nov-22</t>
  </si>
  <si>
    <t>Nov-22 in Dec-22</t>
  </si>
  <si>
    <t>Dec-22 in Jan-23</t>
  </si>
  <si>
    <t>Jan-23 in Feb-23</t>
  </si>
  <si>
    <t>Feb-23 in Mar-23</t>
  </si>
  <si>
    <t>Mar-23 in Apr-23</t>
  </si>
  <si>
    <t>VIA</t>
  </si>
  <si>
    <t>CAT VIB</t>
  </si>
  <si>
    <t>CAT VI B</t>
  </si>
  <si>
    <t>CAT-VIA</t>
  </si>
  <si>
    <t>THE COOPERATIVE ELECTRIC SUPPLY SOICIETY  LIMITED SIRCILLA</t>
  </si>
  <si>
    <t>Particulars</t>
  </si>
  <si>
    <t>Units</t>
  </si>
  <si>
    <t>FY 
2015-16</t>
  </si>
  <si>
    <t>FY 
2016-17</t>
  </si>
  <si>
    <t>FY 
2017-18</t>
  </si>
  <si>
    <t>FY
2018-19</t>
  </si>
  <si>
    <t>FY
2019-20</t>
  </si>
  <si>
    <t>FY 
2020-21</t>
  </si>
  <si>
    <t>FY 
2021-22</t>
  </si>
  <si>
    <t>FY 
2022-23</t>
  </si>
  <si>
    <t>Sales for the Year</t>
  </si>
  <si>
    <t>Number of service 
connections as at 31st March</t>
  </si>
  <si>
    <t>No</t>
  </si>
  <si>
    <t>HP</t>
  </si>
  <si>
    <t>MU</t>
  </si>
  <si>
    <t>Depreciation</t>
  </si>
  <si>
    <t>THE CO-OPERATIVE ELECTRIC SUPPLY SOCIETY LIMITED  :: SIRCILLA::</t>
  </si>
  <si>
    <t>Projections For 2022-2023</t>
  </si>
  <si>
    <t>AVG 8.5% OFEpf</t>
  </si>
  <si>
    <t xml:space="preserve">STATEMENT SHOWING SALARIES AND O&amp;M EXPENDITURE FROM 2015-16 TO 2022-23 </t>
  </si>
  <si>
    <t>Village Electricity Workers Wages</t>
  </si>
  <si>
    <t>01.04.2022</t>
  </si>
  <si>
    <t>Sl
No.</t>
  </si>
  <si>
    <t>PARTICULARS</t>
  </si>
  <si>
    <t>AMOUNT
2015-2016
Audited</t>
  </si>
  <si>
    <t>AMOUNT
2021-2022
Estimations</t>
  </si>
  <si>
    <t>AMOUNT
2022-2023
Projections</t>
  </si>
  <si>
    <t>VEW  Wages up to Oct-2021</t>
  </si>
  <si>
    <t>01.05.2022</t>
  </si>
  <si>
    <t>Salaries</t>
  </si>
  <si>
    <t>Nov-21 to March-22 (164500X5)</t>
  </si>
  <si>
    <t>01.06.2022</t>
  </si>
  <si>
    <t>Travelling Allowance</t>
  </si>
  <si>
    <t>Outsourcing workers wages upto 
October-21</t>
  </si>
  <si>
    <t>01.07.2022</t>
  </si>
  <si>
    <t>Employees Provident Fund</t>
  </si>
  <si>
    <t>Outsourcing workers wages
Nov-21 to march-22 (144788x5)</t>
  </si>
  <si>
    <t>01.08.2022</t>
  </si>
  <si>
    <t>V. E.W  Wages &amp;
Casual Workers, Outsourcing</t>
  </si>
  <si>
    <t>Total Estimations for 2020-21</t>
  </si>
  <si>
    <t>01.09.2022</t>
  </si>
  <si>
    <t>Leave Salary Contribution
to Deputation Employees</t>
  </si>
  <si>
    <t>01.10.2022</t>
  </si>
  <si>
    <t>Pension Contribution
Deputation Employees</t>
  </si>
  <si>
    <t>01.11.2022</t>
  </si>
  <si>
    <t>Leave Travelling Concession</t>
  </si>
  <si>
    <t>01.12.2022</t>
  </si>
  <si>
    <t>Directors Remuneration</t>
  </si>
  <si>
    <t>01.01.2023</t>
  </si>
  <si>
    <t>Incentive to Staff</t>
  </si>
  <si>
    <t>Surender Leave</t>
  </si>
  <si>
    <t>01.02.2023</t>
  </si>
  <si>
    <t>01.03.2023</t>
  </si>
  <si>
    <t>TOTAL RS.</t>
  </si>
  <si>
    <t>EMPLOYEES SALARIES FOR 2021-22</t>
  </si>
  <si>
    <t>Salaries Upto Nov-2021</t>
  </si>
  <si>
    <t>Dec-21 to Jan-22 (16398006X2)
Feb-22 to Mar-22(16696618X2</t>
  </si>
  <si>
    <t>Surrender Leaves</t>
  </si>
  <si>
    <t>Surrender Leave=  Pay+D.A.+H.R.A</t>
  </si>
  <si>
    <t>(9390749+1892987+1145671)</t>
  </si>
  <si>
    <t>FOR 2022-2023 FOR APRIL 2022</t>
  </si>
  <si>
    <t>D.A. (0)</t>
  </si>
  <si>
    <t>Basic 31.12.2021</t>
  </si>
  <si>
    <t>BASIC</t>
  </si>
  <si>
    <t>H.R.A</t>
  </si>
  <si>
    <t>D.A. 25.01%</t>
  </si>
  <si>
    <t xml:space="preserve">FTA </t>
  </si>
  <si>
    <t>TOTAL Rs.</t>
  </si>
  <si>
    <t>MA</t>
  </si>
  <si>
    <t>Fitment 32%</t>
  </si>
  <si>
    <t>Washing Allowance</t>
  </si>
  <si>
    <t>Physical Handicap Allowance</t>
  </si>
  <si>
    <t>P.P.</t>
  </si>
  <si>
    <t>TSI</t>
  </si>
  <si>
    <t>conveyance Allowance</t>
  </si>
  <si>
    <t>Corporate Allowance</t>
  </si>
  <si>
    <t>Gorss Salary  1.4.2022 BEFOR prc</t>
  </si>
  <si>
    <t>FOR 2022-2023 FOR APRIL- 2022 AFTER PRC</t>
  </si>
  <si>
    <t>D.A. (0%)</t>
  </si>
  <si>
    <t>Basic 01.04.2022</t>
  </si>
  <si>
    <t>Gross Salary 1.4.2022</t>
  </si>
  <si>
    <t>FOR 2022-2023 FOR July 2022</t>
  </si>
  <si>
    <t>D.A. (3%)</t>
  </si>
  <si>
    <t>Gross Salary 1.7.2022</t>
  </si>
  <si>
    <t>FOR 2022-2023 FOR JAN 2023</t>
  </si>
  <si>
    <t>D.A. (3%+3%)</t>
  </si>
  <si>
    <t>Basic 31.1.2020</t>
  </si>
  <si>
    <t>Gross Salary 1.01.2023</t>
  </si>
  <si>
    <t>AMOUNT
2016-2017
Audited</t>
  </si>
  <si>
    <t>AMOUNT
2017-2018
Audited</t>
  </si>
  <si>
    <t>AMOUNT
2018-2019
Audited</t>
  </si>
  <si>
    <t>AMOUNT
2019-2020
Audited</t>
  </si>
  <si>
    <t>AMOUNT
2020-2021
Audited</t>
  </si>
  <si>
    <t>Total Estimations for 2021-22</t>
  </si>
  <si>
    <t>Contribution to Gratuity</t>
  </si>
  <si>
    <t>Contribution to leave encahment</t>
  </si>
  <si>
    <t>Administration and General 
Expenses</t>
  </si>
  <si>
    <t>Repairs and Maintenance
(R&amp;M)Expenses</t>
  </si>
  <si>
    <t>Rents, Rates and Taxes</t>
  </si>
  <si>
    <t>Interest on Loans</t>
  </si>
  <si>
    <t>Auditor's Fee</t>
  </si>
  <si>
    <t>Sub-Total (A)</t>
  </si>
  <si>
    <t>Sub-Total (B)</t>
  </si>
  <si>
    <t>GRAND TOTAL (A+B)</t>
  </si>
  <si>
    <t>Gross Salary</t>
  </si>
  <si>
    <t>ESTIMATED PRC- 2022</t>
  </si>
  <si>
    <t>New Basic after PRC as on 1.4.2022</t>
  </si>
  <si>
    <t>THE STATEMENT SHOWING THE DEPRECIATION  ON DISTRIBUTION PLANT FOR THE YEAR 2022-2023, CESS LIMITED : SIRCILLA :</t>
  </si>
  <si>
    <t>Sl.
No.</t>
  </si>
  <si>
    <t>A/C
No.</t>
  </si>
  <si>
    <t>DEPRECIATION OF 
ASSETS</t>
  </si>
  <si>
    <t>LIFE IN
YEARS</t>
  </si>
  <si>
    <t>ORIGINAL VALUE OF 
ASSETS AS ON
31.03.2022</t>
  </si>
  <si>
    <t>PREVIOUS  ACCUMULATED
DEPRECIATION
AS ON 31.03.2022</t>
  </si>
  <si>
    <t>VALUE AFTER
DEDUCTION OF
DEPRECIATION
AS ON 31.03.2022</t>
  </si>
  <si>
    <t>90%
VALUE
as on 31.03.2022</t>
  </si>
  <si>
    <t>DEPRECIATION
 FOR
THE YEAR 2022-2023</t>
  </si>
  <si>
    <t>%</t>
  </si>
  <si>
    <t>Accumulated
Depreciation
as on 31.03.2023</t>
  </si>
  <si>
    <t>Distribution plant Transformer</t>
  </si>
  <si>
    <t>above 100 KVA</t>
  </si>
  <si>
    <t>35 Years</t>
  </si>
  <si>
    <t>below 100 KVA</t>
  </si>
  <si>
    <t>25 Years</t>
  </si>
  <si>
    <t>Distribution H.V.Switch gears</t>
  </si>
  <si>
    <t>20 Years</t>
  </si>
  <si>
    <t>HVDS System DTRS</t>
  </si>
  <si>
    <t>Distribution H.V.Switch Lines</t>
  </si>
  <si>
    <t>on steels or RCC Supports.</t>
  </si>
  <si>
    <t xml:space="preserve">Distribution plant Lighting </t>
  </si>
  <si>
    <t>Arresters.</t>
  </si>
  <si>
    <t>15 Years</t>
  </si>
  <si>
    <t>SUB  TOTAL:</t>
  </si>
  <si>
    <t xml:space="preserve">Distribution plant M&amp;LV </t>
  </si>
  <si>
    <t>Switch Gears</t>
  </si>
  <si>
    <t>Lines on steel or RCC Supports</t>
  </si>
  <si>
    <t>HVDS Distribution palnt 
HT line</t>
  </si>
  <si>
    <t>HVDS Distribution palnt 
LT line</t>
  </si>
  <si>
    <t>Lighting Arresters</t>
  </si>
  <si>
    <t>----</t>
  </si>
  <si>
    <t>Service lines</t>
  </si>
  <si>
    <t>Distribution plant Metering</t>
  </si>
  <si>
    <t>Equipment</t>
  </si>
  <si>
    <t>Public Lighting</t>
  </si>
  <si>
    <t>Capacitor Cells</t>
  </si>
  <si>
    <t>7 years</t>
  </si>
  <si>
    <t>GRAND  TOTAL:</t>
  </si>
  <si>
    <t>Lands &amp; Rights free hold</t>
  </si>
  <si>
    <t>Fences etc.</t>
  </si>
  <si>
    <t>5 Years</t>
  </si>
  <si>
    <t>Administration building store</t>
  </si>
  <si>
    <t>50 Years</t>
  </si>
  <si>
    <t>362A</t>
  </si>
  <si>
    <t xml:space="preserve">Administration building </t>
  </si>
  <si>
    <t>Main Office</t>
  </si>
  <si>
    <t>362B</t>
  </si>
  <si>
    <t>Administration building</t>
  </si>
  <si>
    <t>Mandal Officer</t>
  </si>
  <si>
    <t>362C</t>
  </si>
  <si>
    <t>Administration General Shed</t>
  </si>
  <si>
    <t>Office furniture equipment</t>
  </si>
  <si>
    <t>363A</t>
  </si>
  <si>
    <t>games material to Staff</t>
  </si>
  <si>
    <t>363B</t>
  </si>
  <si>
    <t>Television set</t>
  </si>
  <si>
    <t>………..</t>
  </si>
  <si>
    <t>Laboratories &amp; Metering</t>
  </si>
  <si>
    <t>Equipment R.S. mets</t>
  </si>
  <si>
    <t>Workshop plants and Equipment</t>
  </si>
  <si>
    <t>Tools and work shop equipment</t>
  </si>
  <si>
    <t>367A</t>
  </si>
  <si>
    <t>Personal</t>
  </si>
  <si>
    <t>Generator Equipment</t>
  </si>
  <si>
    <t>7 Years</t>
  </si>
  <si>
    <t>368A</t>
  </si>
  <si>
    <t xml:space="preserve">Communication equipment </t>
  </si>
  <si>
    <t>Intercome</t>
  </si>
  <si>
    <t>Miscellaneous Equipment</t>
  </si>
  <si>
    <t>Transformer filter</t>
  </si>
  <si>
    <t>Poles Manufacturing Plant</t>
  </si>
  <si>
    <t>Computer Machine</t>
  </si>
  <si>
    <t>10 Years</t>
  </si>
  <si>
    <t>387A</t>
  </si>
  <si>
    <t>Computer site preparation</t>
  </si>
  <si>
    <t>387B</t>
  </si>
  <si>
    <t>C.C.Cameras</t>
  </si>
  <si>
    <t>387C</t>
  </si>
  <si>
    <t>Laptop</t>
  </si>
  <si>
    <t>Computer Printer</t>
  </si>
  <si>
    <t>Spot Billing Machines</t>
  </si>
  <si>
    <t>Fake Notes Detectors&amp; Counting Machine</t>
  </si>
  <si>
    <t>Xerox Machine</t>
  </si>
  <si>
    <t>Refregirator and Water Coolers</t>
  </si>
  <si>
    <t>TOTAL :</t>
  </si>
  <si>
    <t>Transportation equipements</t>
  </si>
  <si>
    <t>GRAND TOTAL</t>
  </si>
  <si>
    <t xml:space="preserve">STATEMENT SHOWING THE DEPRECIATION ON TRANSPORTATION EQUIPMENT FOR </t>
  </si>
  <si>
    <t>THE YEAR 2022-23, CESS LTD., SIRCILLA</t>
  </si>
  <si>
    <t>VEHICLE</t>
  </si>
  <si>
    <t>PREVIOUS 
DEPRECIATION
31.03.2022</t>
  </si>
  <si>
    <t>VALUE AFTER
DEDUCTION OF
DEPRECIATION</t>
  </si>
  <si>
    <t>90%
VALUE</t>
  </si>
  <si>
    <t>REVISED DEPRECIATION
STRAIGHT LINE FOR
THE YEAR 2022-2023</t>
  </si>
  <si>
    <t>Accumulated
Depreciation
as on 31.03.2022</t>
  </si>
  <si>
    <t xml:space="preserve">LORRY No.AP15DU 4566
</t>
  </si>
  <si>
    <t xml:space="preserve">PICK UP VAN  APU 4559
</t>
  </si>
  <si>
    <t xml:space="preserve">JEEP  No.AP15H  5129
</t>
  </si>
  <si>
    <t xml:space="preserve">PICK UP VAN AP15H  8178 </t>
  </si>
  <si>
    <t>JEEP No. AP15H 8550</t>
  </si>
  <si>
    <t>Depreciation Value Crossed 90%,
Hence Depreciaton not applicable</t>
  </si>
  <si>
    <t>Bolero Camper AP 15 AH-5047</t>
  </si>
  <si>
    <t>4 Years</t>
  </si>
  <si>
    <t>Bolero Camper AP 15 AH-5048</t>
  </si>
  <si>
    <t>Scorpio S10</t>
  </si>
  <si>
    <t>12 Years</t>
  </si>
  <si>
    <t>GRAND TOTAL:</t>
  </si>
  <si>
    <t>1St Quarter  Dist.Plant</t>
  </si>
  <si>
    <t>ABSTRACT OF THE DEPRECIATION FOR THE YEAR OF 2022-23</t>
  </si>
  <si>
    <t>1. Distribution Plant              Rs.</t>
  </si>
  <si>
    <t>2. General Plant Equipment Rs.</t>
  </si>
  <si>
    <t>3. Transportation Equipment Rs.</t>
  </si>
  <si>
    <t>2nd Quarter</t>
  </si>
  <si>
    <t>TOTAL:</t>
  </si>
  <si>
    <t>General Plant</t>
  </si>
  <si>
    <t>Transportation Equipment</t>
  </si>
  <si>
    <t>3rd Quarter</t>
  </si>
  <si>
    <t>4th Quarter</t>
  </si>
  <si>
    <t>ASST.ACCOUNTS OFFICER</t>
  </si>
  <si>
    <t>CESS.LTD.SIRCILLA.</t>
  </si>
  <si>
    <t>THE CO-OP. ELECTRIC SUPPLY SOCIETY LTD.,SIRCILLA</t>
  </si>
  <si>
    <t>Administration Expenses</t>
  </si>
  <si>
    <t>For the
Fy 2020-21
Un Audited
Actuals</t>
  </si>
  <si>
    <t xml:space="preserve"> 
For the Year
2021-22
Upto Oct-21</t>
  </si>
  <si>
    <t>Estiamtions</t>
  </si>
  <si>
    <t>Projections 
For the Year
2022-23</t>
  </si>
  <si>
    <t>For the year</t>
  </si>
  <si>
    <t xml:space="preserve"> Rs.</t>
  </si>
  <si>
    <t>951.Contingency Stationary</t>
  </si>
  <si>
    <t>952-A Contingencies Software</t>
  </si>
  <si>
    <t>952.Contingencies Printing</t>
  </si>
  <si>
    <t>953 Postage&amp;Teglegrams</t>
  </si>
  <si>
    <t>954-Books and Periodicals</t>
  </si>
  <si>
    <t>955-Telephone Charges</t>
  </si>
  <si>
    <t>957A-Education concession to Staff</t>
  </si>
  <si>
    <t>957-Staff Uniforms Expenses</t>
  </si>
  <si>
    <t>959-Furniture&amp;Equipment &amp;Small</t>
  </si>
  <si>
    <t>960A-Hospitality Charges</t>
  </si>
  <si>
    <t>961A-Consumer Compensation</t>
  </si>
  <si>
    <t>961B- Reimbursement of Medical Expenses</t>
  </si>
  <si>
    <t>962-Advertisement Expenses</t>
  </si>
  <si>
    <t>963-License Registration Fee</t>
  </si>
  <si>
    <t>964-Elec.and Water Expenses</t>
  </si>
  <si>
    <t>966-Payment of Sales tax</t>
  </si>
  <si>
    <t>967A-General Body Expenses</t>
  </si>
  <si>
    <t>967B-Income Tax Practioner Fee</t>
  </si>
  <si>
    <t>967C-Election Expenses</t>
  </si>
  <si>
    <t>967-D- Sales Tax Practitioner Fee</t>
  </si>
  <si>
    <t>967E-E.P.F. Adm.Charges</t>
  </si>
  <si>
    <t>967F-RGGVY Agency Charges</t>
  </si>
  <si>
    <t>967 Payment of Misc Expenses</t>
  </si>
  <si>
    <t>969-Xerox charges</t>
  </si>
  <si>
    <t>970-Bank Charges</t>
  </si>
  <si>
    <t>971-Entry Tax</t>
  </si>
  <si>
    <t>972-Clean and Green</t>
  </si>
  <si>
    <t>975-Direct Taxes</t>
  </si>
  <si>
    <t>977.1 Cont.to Salary Linked LIC Scheme</t>
  </si>
  <si>
    <t>987-Recruitment expenses</t>
  </si>
  <si>
    <t>996A-RGGVY Inspection Charges</t>
  </si>
  <si>
    <t>996-Thirty party Inspection Charges</t>
  </si>
  <si>
    <t>Adm Expenses Total Rs.</t>
  </si>
  <si>
    <t>956-Legal Expenses</t>
  </si>
  <si>
    <t>968-Rents &amp;Taxes</t>
  </si>
  <si>
    <t>Sub Total Rs.</t>
  </si>
  <si>
    <t>997A-Intrest on RGGVY to REC</t>
  </si>
  <si>
    <t>997. Interest on REC Loan</t>
  </si>
  <si>
    <t>998-Interest on  Term Loan</t>
  </si>
  <si>
    <t>Loan Interest Total Rs.</t>
  </si>
  <si>
    <t>999 Interest on Security Deposts</t>
  </si>
  <si>
    <t>958 Audit Charges</t>
  </si>
  <si>
    <t>O&amp;M Expenditure</t>
  </si>
  <si>
    <t>For the
Fy 2020-21
Actuals</t>
  </si>
  <si>
    <t>Rs.</t>
  </si>
  <si>
    <t>113.Storage &amp; Store Handling Charges</t>
  </si>
  <si>
    <t>117-Transportation Vehicle Maintainence</t>
  </si>
  <si>
    <t>515 O&amp;M Dist.Transformers above 100KVA</t>
  </si>
  <si>
    <t>516 O&amp;M Dist.Transformers Below 100KVA</t>
  </si>
  <si>
    <t>519 O&amp;M Dist. Plant HV Lines on Steel or RCC support</t>
  </si>
  <si>
    <t>531 O&amp;M Dist. Plant M&amp;Lv Proportionate Salaries</t>
  </si>
  <si>
    <t>539 O&amp;M Dist.Plant M&amp;LV Line on Steel</t>
  </si>
  <si>
    <t>543 O&amp;M Dist.Plant M&amp;LV Service Lines</t>
  </si>
  <si>
    <t>544 O&amp;M Dist.Plant M&amp;LV Metering Equipment</t>
  </si>
  <si>
    <t>573 Consumer Servicing Billing and Collection</t>
  </si>
  <si>
    <t>Grand Total Rs.</t>
  </si>
  <si>
    <t>I ST TERM LOAN INTERST 2021-22 SBI</t>
  </si>
  <si>
    <t>Debit
 interst 
@7.8%PA</t>
  </si>
  <si>
    <t>Credit</t>
  </si>
  <si>
    <t>closing Balance</t>
  </si>
  <si>
    <t>Opengin Balance as on 31.3.2021</t>
  </si>
  <si>
    <t>II ND TERM LOAN INTERST 2021-22 SBI</t>
  </si>
  <si>
    <t>Debit
 interst 
@3.2%PA</t>
  </si>
  <si>
    <t>III RD TERM LOAN INTERST-2021-22 KDCC</t>
  </si>
  <si>
    <t>Debit
 interst 
@9.75%PA</t>
  </si>
  <si>
    <t>CUMULATIVE</t>
  </si>
  <si>
    <t>HVDS LOAN FROM REC INTEREST FOR 2022-23</t>
  </si>
  <si>
    <t>256 Security Deposit From Consumers</t>
  </si>
  <si>
    <t xml:space="preserve">1-Apr-2022 to 31-Mar-2023 </t>
  </si>
  <si>
    <t>Transactions</t>
  </si>
  <si>
    <t>Closing</t>
  </si>
  <si>
    <t>Period</t>
  </si>
  <si>
    <t>Int.Rs.</t>
  </si>
  <si>
    <t>Int to be debited
in PL</t>
  </si>
  <si>
    <t>Debit</t>
  </si>
  <si>
    <t>Balance</t>
  </si>
  <si>
    <t>Opening Balance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</si>
  <si>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</si>
  <si>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</si>
  <si>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</si>
  <si>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</si>
  <si>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</si>
  <si>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</si>
  <si>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</si>
  <si>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</si>
  <si>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</si>
  <si>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</si>
  <si>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</si>
  <si>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</si>
  <si>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Total</t>
  </si>
  <si>
    <t>256A- Addl.Consumption Deposit From Consumers</t>
  </si>
  <si>
    <t xml:space="preserve">1-Apr-2021 to 31-Mar-2022 </t>
  </si>
  <si>
    <t>Operating Revenue</t>
  </si>
  <si>
    <t>Non-Operating Revenue</t>
  </si>
  <si>
    <t>Interest on Bank Deposits</t>
  </si>
  <si>
    <t>Surcharge</t>
  </si>
  <si>
    <t>Intrest on ED</t>
  </si>
  <si>
    <t>Capital Expenditure</t>
  </si>
  <si>
    <t>STATEMENT SHOWING THAT THE CAPITAL WORKS IN PROGRESS AS ON 01-04-2021 AND CAPITAL EXPENDITURE DURING FY 2021 - 2022 OF CESS LTD SIRCILLA</t>
  </si>
  <si>
    <t>Sl.No.</t>
  </si>
  <si>
    <t>Name of the work</t>
  </si>
  <si>
    <t>Opening CWIP as on 01-04-2021</t>
  </si>
  <si>
    <t>Capitalisation during FY 2021-22</t>
  </si>
  <si>
    <t>Opening CWIP as on 01-04-2022</t>
  </si>
  <si>
    <t>Capital Expenditure During FY 2022-23</t>
  </si>
  <si>
    <t>Capitalisation during FY 2022-23</t>
  </si>
  <si>
    <t>CIMP</t>
  </si>
  <si>
    <t>HVDS</t>
  </si>
  <si>
    <t>Capital Expenditure during FY 2021 - 22
Estimations</t>
  </si>
  <si>
    <t>DCW &amp;MN</t>
  </si>
  <si>
    <t>6= (3+4-5)</t>
  </si>
  <si>
    <t>11KV</t>
  </si>
  <si>
    <t>Connected Load as t 31st March</t>
  </si>
  <si>
    <t>THE CO-OPERATIVE ELECTRIC SUPPLY SOCIETY LIMITED SIRCILLA</t>
  </si>
  <si>
    <t>(Rs. In Lakhs)</t>
  </si>
  <si>
    <t>AMOUNT
Rs. In lakhs
As per Net Cash
system</t>
  </si>
  <si>
    <t>AMOUNT
Rs. In Lakhs
As Per BST
System</t>
  </si>
  <si>
    <t>Expenditure (Excluding Power Purchase cost)</t>
  </si>
  <si>
    <t>Reasonable Return</t>
  </si>
  <si>
    <t>Less: Non Tariff Income</t>
  </si>
  <si>
    <t>Net Revenue Requirement (1+2-3)</t>
  </si>
  <si>
    <t>Revenue from Sale of Power</t>
  </si>
  <si>
    <t>Revenue Deficit/Gap</t>
  </si>
  <si>
    <t>Units to be purchased (in MU)/KWH</t>
  </si>
  <si>
    <t>Power Purchase Price : Re/Unit for KWH</t>
  </si>
  <si>
    <t>Dist.Losses 10.56% =1087.93 Units in Rs Lakhs</t>
  </si>
  <si>
    <t>Excess Burden on Society Due to BST</t>
  </si>
  <si>
    <t>THE CO-OOERATIVE ELECTRCI SUPPLY SOCIETY LIMITED SIRCILLA</t>
  </si>
  <si>
    <t>SC.NO</t>
  </si>
  <si>
    <t>NAM EOF THE CONSUMER</t>
  </si>
  <si>
    <t>ADDRESS-1</t>
  </si>
  <si>
    <t>ADDRESS-2</t>
  </si>
  <si>
    <t>ADRESSS-3</t>
  </si>
  <si>
    <t>CAT</t>
  </si>
  <si>
    <t>LOAD
HP</t>
  </si>
  <si>
    <t>50525 00725</t>
  </si>
  <si>
    <t>M/S ADILAXMI GINNING INDUSTRIE</t>
  </si>
  <si>
    <t>STHAMBAMPALLI</t>
  </si>
  <si>
    <t>GINNING MILL</t>
  </si>
  <si>
    <t>525  STHAMBAMPALLI</t>
  </si>
  <si>
    <t>50530 01828</t>
  </si>
  <si>
    <t>M/S SAI INDUSTRIES PRO:JULAPAL</t>
  </si>
  <si>
    <t>VILASAGAR</t>
  </si>
  <si>
    <t>50508 00650</t>
  </si>
  <si>
    <t>M/S SUHAAS AGRO RICE MILL LLP</t>
  </si>
  <si>
    <t>-</t>
  </si>
  <si>
    <t>JAGGARAOPALLY</t>
  </si>
  <si>
    <t>BOINPALLY</t>
  </si>
  <si>
    <t>50530 01798</t>
  </si>
  <si>
    <t>SASYA LAXMI INDUSTRIES  PROP:A</t>
  </si>
  <si>
    <t>50530 01782</t>
  </si>
  <si>
    <t>M/S.SWASTHIK INDUSTRIES PR:THA</t>
  </si>
  <si>
    <t>RICE MILL</t>
  </si>
  <si>
    <t>50530 01912</t>
  </si>
  <si>
    <t>M/S SRI SAI BALAJI GRANITES Pr</t>
  </si>
  <si>
    <t>80801 03412</t>
  </si>
  <si>
    <t>M/S SRILAXMINARSHIMA CRUSHER</t>
  </si>
  <si>
    <t>RUDRANGI</t>
  </si>
  <si>
    <t>801  RUDRANGI</t>
  </si>
  <si>
    <t>80801 04497</t>
  </si>
  <si>
    <t>M/S RUDRANGI RICE MILL (PROP.B</t>
  </si>
  <si>
    <t>10101 08773</t>
  </si>
  <si>
    <t>VIJAYALAXMI MODERN RICEMILL</t>
  </si>
  <si>
    <t>SIRCILLA TOWN</t>
  </si>
  <si>
    <t>Rice Mill</t>
  </si>
  <si>
    <t>101  SIRCILLA TOWN</t>
  </si>
  <si>
    <t>10102 00409</t>
  </si>
  <si>
    <t>SATHYANARAYANA</t>
  </si>
  <si>
    <t>RAGUDU</t>
  </si>
  <si>
    <t>102  RAGUDU</t>
  </si>
  <si>
    <t>10102 00408</t>
  </si>
  <si>
    <t>MAHESWARI TRADERS</t>
  </si>
  <si>
    <t>10134 01496</t>
  </si>
  <si>
    <t>SRI VEERANJANEYA R M PVTLTD</t>
  </si>
  <si>
    <t>THANGALLAPALLY</t>
  </si>
  <si>
    <t>134  THANGALLAPALLY</t>
  </si>
  <si>
    <t>10134 03604</t>
  </si>
  <si>
    <t>M/S SAPTHAGIRI INDUSTRIES PROP</t>
  </si>
  <si>
    <t>PARABOILED</t>
  </si>
  <si>
    <t>10134 02196</t>
  </si>
  <si>
    <t>L SRINIVAS S/VISWANATHAM</t>
  </si>
  <si>
    <t>10134 03854</t>
  </si>
  <si>
    <t>M/S MITHRA YARNS PROP:KARAMPUR</t>
  </si>
  <si>
    <t>10134 01577</t>
  </si>
  <si>
    <t>SRI ABAYA ANJANEYA PB IND</t>
  </si>
  <si>
    <t>ARA BOILED</t>
  </si>
  <si>
    <t>10134 02519</t>
  </si>
  <si>
    <t>KALKI INDUSTRIES JANARDHAN.K</t>
  </si>
  <si>
    <t>10119 01258</t>
  </si>
  <si>
    <t>M/S C.B.M INDUSTRIES PROP:CHIK</t>
  </si>
  <si>
    <t>MANDEPALLY</t>
  </si>
  <si>
    <t>10116 02072</t>
  </si>
  <si>
    <t>M/S SHAMBHAVI STONE CRUSHERS P</t>
  </si>
  <si>
    <t>JILLELLA</t>
  </si>
  <si>
    <t>STONE CRUSHER</t>
  </si>
  <si>
    <t>10107 00828</t>
  </si>
  <si>
    <t>M/S BALAJI INDUSTRIES PROP A L</t>
  </si>
  <si>
    <t>BASWAPOOR</t>
  </si>
  <si>
    <t>10107 00831</t>
  </si>
  <si>
    <t>M/S SRINIVASA INDUSTRIES PROP</t>
  </si>
  <si>
    <t>10111 00823</t>
  </si>
  <si>
    <t>M/S SRI LAXMI INDUSTRIES PVT L</t>
  </si>
  <si>
    <t>CHINTHALTANA</t>
  </si>
  <si>
    <t>10131 00067</t>
  </si>
  <si>
    <t>SRINIVASA MODERN RICE MILL</t>
  </si>
  <si>
    <t>SARAMPALLY</t>
  </si>
  <si>
    <t>131  SARAMPALLY</t>
  </si>
  <si>
    <t>90930 00864</t>
  </si>
  <si>
    <t>M/S PRATHIMA INFRA LTD</t>
  </si>
  <si>
    <t>VELJIPOOR</t>
  </si>
  <si>
    <t>ELLANTHAKUNTA</t>
  </si>
  <si>
    <t>90902 01021</t>
  </si>
  <si>
    <t>ANANTHARAM</t>
  </si>
  <si>
    <t>90930 00869</t>
  </si>
  <si>
    <t>M/S GAJA ENGG PVT,LTD C/O KALE</t>
  </si>
  <si>
    <t>NEW</t>
  </si>
  <si>
    <t>90926 00589</t>
  </si>
  <si>
    <t>M/S RAJA RAJESHWARA AGRO IND.P</t>
  </si>
  <si>
    <t>THALLAPALLY</t>
  </si>
  <si>
    <t>10102 00392</t>
  </si>
  <si>
    <t>S.R.INDUSTRIES RICE MILL</t>
  </si>
  <si>
    <t>10132 00288</t>
  </si>
  <si>
    <t>M/S VINAYAKA STONE CRUSHER</t>
  </si>
  <si>
    <t>SARDAPOOR</t>
  </si>
  <si>
    <t>CRUSHER</t>
  </si>
  <si>
    <t>132  SARDAPOOR</t>
  </si>
  <si>
    <t>20205 00254</t>
  </si>
  <si>
    <t>S.A.P.I.M.RICE and OIL MILL</t>
  </si>
  <si>
    <t>KONAIPALLY</t>
  </si>
  <si>
    <t>ricemill</t>
  </si>
  <si>
    <t>205  KONAIPALLY</t>
  </si>
  <si>
    <t>20201 08085</t>
  </si>
  <si>
    <t>M/S MAHALAXMI PARABOILED MILL</t>
  </si>
  <si>
    <t>VEMULAWADA TOWN</t>
  </si>
  <si>
    <t>Ricemill</t>
  </si>
  <si>
    <t>201  VEMULAWADA TOWN</t>
  </si>
  <si>
    <t>20225 00769</t>
  </si>
  <si>
    <t>M/S MARUTHI INDUSTRIES</t>
  </si>
  <si>
    <t>MARRIPALLY</t>
  </si>
  <si>
    <t>20225 00775</t>
  </si>
  <si>
    <t>M/S SRI MAHALAXMI IND PRO  VUM</t>
  </si>
  <si>
    <t>MARRIPELLY</t>
  </si>
  <si>
    <t>20225 00803</t>
  </si>
  <si>
    <t>SRI MALLIKARJUNA  INDS PROP: P</t>
  </si>
  <si>
    <t>20226 01158</t>
  </si>
  <si>
    <t>M/S SRI LAXMI NARSIMHA INDUSTR</t>
  </si>
  <si>
    <t>NAMPALLY GINNING MIL</t>
  </si>
  <si>
    <t>VEMULAWADA RURAL</t>
  </si>
  <si>
    <t>20232 00532</t>
  </si>
  <si>
    <t>M/S LAXMIINDUSTRIES pr C.VARUN</t>
  </si>
  <si>
    <t>SANKEPALLY</t>
  </si>
  <si>
    <t>COTTON MILL</t>
  </si>
  <si>
    <t>232  SANKEPALLY</t>
  </si>
  <si>
    <t>20225 00841</t>
  </si>
  <si>
    <t>M/S SRI MANIKANTA INDUSTRIES P</t>
  </si>
  <si>
    <t>VEMULAWADA-RURAL</t>
  </si>
  <si>
    <t>20201 19737</t>
  </si>
  <si>
    <t>D.UMARANI W/O SRINIVAS</t>
  </si>
  <si>
    <t>1ST BYPASS ROAD</t>
  </si>
  <si>
    <t>VEMULAWADA</t>
  </si>
  <si>
    <t>20202 01582</t>
  </si>
  <si>
    <t>AREA HOSPITAL THIPPAPOOR (VMDT</t>
  </si>
  <si>
    <t>THIPPAPOOR</t>
  </si>
  <si>
    <t>VEMULAWADA  TOWN</t>
  </si>
  <si>
    <t>40421 00889</t>
  </si>
  <si>
    <t>M/S SRI KAVERI COTTON INDUSTRI</t>
  </si>
  <si>
    <t>SUDDALA</t>
  </si>
  <si>
    <t>cotton mill</t>
  </si>
  <si>
    <t>40406 01084</t>
  </si>
  <si>
    <t>M/S SARASWATHI RICE TECH PVT L</t>
  </si>
  <si>
    <t>593/A,58</t>
  </si>
  <si>
    <t>rice mill</t>
  </si>
  <si>
    <t>KOLANOOR</t>
  </si>
  <si>
    <t>40405 01080</t>
  </si>
  <si>
    <t>M/S MARUTHI INDUSTRIES PROP: K</t>
  </si>
  <si>
    <t>KANAGARTHI</t>
  </si>
  <si>
    <t>40405 01083</t>
  </si>
  <si>
    <t>M/S KANKADURGA INDUSTRIES PROP</t>
  </si>
  <si>
    <t>60617 00812</t>
  </si>
  <si>
    <t>SRI LALITHA PARAMESHWARI INDUS</t>
  </si>
  <si>
    <t>PADIRA</t>
  </si>
  <si>
    <t>60624 01320</t>
  </si>
  <si>
    <t>M/S SRI SAI INDUSTRIES PRO:BAN</t>
  </si>
  <si>
    <t>THIMMAPOOR</t>
  </si>
  <si>
    <t>Sri Sai Industries</t>
  </si>
  <si>
    <t>70701 02464</t>
  </si>
  <si>
    <t>M/S ARJUN CONSTRUCTIONS Pro /</t>
  </si>
  <si>
    <t>POTHUGAL</t>
  </si>
  <si>
    <t>MUSTABAD</t>
  </si>
  <si>
    <t>70717 00502</t>
  </si>
  <si>
    <t>VEERAHANUMAN INDUSTRIES</t>
  </si>
  <si>
    <t>THEERLAMADDI</t>
  </si>
  <si>
    <t>717  THEERLAMADDI</t>
  </si>
  <si>
    <t>70715 01287</t>
  </si>
  <si>
    <t>DHANALAXMI PARABOILED RICEMILL</t>
  </si>
  <si>
    <t>NAMAPOOR</t>
  </si>
  <si>
    <t>70715 00406</t>
  </si>
  <si>
    <t>BALAJI RICE MILL</t>
  </si>
  <si>
    <t>715  NAMAPOOR</t>
  </si>
  <si>
    <t>70715 00880</t>
  </si>
  <si>
    <t>SRI RAGHAVENDRA RICE MILL</t>
  </si>
  <si>
    <t>70711 00553</t>
  </si>
  <si>
    <t>M/S GURU RAGHAVENDRA RICEMILL</t>
  </si>
  <si>
    <t>MORRAIPALLY</t>
  </si>
  <si>
    <t>711  MORRAIPALLY</t>
  </si>
  <si>
    <t>70715 01633</t>
  </si>
  <si>
    <t>M/S SRIMANNARAYANA RICE MILL P</t>
  </si>
  <si>
    <t>NAMAPUR</t>
  </si>
  <si>
    <t>30317 01693</t>
  </si>
  <si>
    <t>SRI LAXMINARAYANA INDUSTRIES(R</t>
  </si>
  <si>
    <t>LINGANNAPET</t>
  </si>
  <si>
    <t>30317 01759</t>
  </si>
  <si>
    <t>M/S SRI VENKATESHWARA INDIAN O</t>
  </si>
  <si>
    <t>30317 00154</t>
  </si>
  <si>
    <t>PADMAVATHI RICE MILL</t>
  </si>
  <si>
    <t>317  LINGANNAPET</t>
  </si>
  <si>
    <t>30313 02004</t>
  </si>
  <si>
    <t>VAYUPUTRA INDUSTRIES PRO: PATH</t>
  </si>
  <si>
    <t>KOTHAPALLY</t>
  </si>
  <si>
    <t>30316 00648</t>
  </si>
  <si>
    <t>M/S LAXMISAI STONE CRUSHER</t>
  </si>
  <si>
    <t>NAGAMPET</t>
  </si>
  <si>
    <t>316  NAGAMPET</t>
  </si>
  <si>
    <t>Vol
tage</t>
  </si>
  <si>
    <t>Interest on consumer S.D</t>
  </si>
  <si>
    <t>HVDS LOAN FROM REC INTEREST FOR 2021-22</t>
  </si>
  <si>
    <t>Debit
 interst 
@11.25%PA</t>
  </si>
  <si>
    <t>Opengin Balance as on 31.3.2022</t>
  </si>
  <si>
    <t>Interest for FY 2022-23</t>
  </si>
  <si>
    <t>STATEMENT SHOWING CATEGORY WISE SERVICES (ANNEXURE-I)</t>
  </si>
  <si>
    <t>STATEMENT SHOWING CATEGORY WISE SERVICES (ANNEXURE-II)</t>
  </si>
  <si>
    <t>STATEMENT SHOWING THE PARTICULARS OF CATEGORY WISE &amp; MONTH WISE (UNITS) (ANNEXURE-III)</t>
  </si>
  <si>
    <t>STATEMENT SHOWING SALES UNDER LT-VA CATEGORY (ANNEXURE-IV)</t>
  </si>
  <si>
    <t>ANNEXURE-VI</t>
  </si>
  <si>
    <t>ANNEXURE-VII</t>
  </si>
  <si>
    <t>THE CO.OPERATIVE ELECTRIC SUPPLY SOCIETY LIMITED : SIRCILLA :</t>
  </si>
  <si>
    <t>2023-24</t>
  </si>
  <si>
    <t>2024-25</t>
  </si>
  <si>
    <t>Amount (Rs.in lakhs)</t>
  </si>
  <si>
    <t>Rate
in Rs.</t>
  </si>
  <si>
    <t>Qnty in
Km</t>
  </si>
  <si>
    <t>Amount in
lakhs</t>
  </si>
  <si>
    <t>Qnty</t>
  </si>
  <si>
    <t>Amount</t>
  </si>
  <si>
    <t>LINES (IN Kms) ORC work</t>
  </si>
  <si>
    <t>a) 11KV line over 8M PSCC poles with 34sqmm AAAC</t>
  </si>
  <si>
    <t>b) 6.3KV line over 8M PSCC poles with 34sqmm AAAC</t>
  </si>
  <si>
    <t>c) LT 3ph.4W/L over 8M PSCC poles with 34sqmm AAAC</t>
  </si>
  <si>
    <t>d) LT S.ph.3W/L over 8M PSCC poles with 2x16+25sqmm AB cable</t>
  </si>
  <si>
    <t>TRANSFORMERS (Nos)</t>
  </si>
  <si>
    <t>a)315 KVA(3PH)</t>
  </si>
  <si>
    <t>b)160 KVA(3PH)</t>
  </si>
  <si>
    <t>c) 100 KVA (3ph.) CSP</t>
  </si>
  <si>
    <t>d) 63 KVA (3ph.) CSP</t>
  </si>
  <si>
    <t>e) 25 KVA (3ph.) CRGO</t>
  </si>
  <si>
    <t>f) 25 KVA (Sph.) CSP</t>
  </si>
  <si>
    <t>SERVICE CONNECTIONS (Nos)</t>
  </si>
  <si>
    <t>a) Domestic</t>
  </si>
  <si>
    <t>b) Commercial</t>
  </si>
  <si>
    <t>c) Industrial</t>
  </si>
  <si>
    <t>d) Cottage Industrial</t>
  </si>
  <si>
    <t>e) Agriculture</t>
  </si>
  <si>
    <t>SYSTEM IMPROVEMENT WORKS</t>
  </si>
  <si>
    <t>a) 11KV line (KMS)</t>
  </si>
  <si>
    <t>b) LT 3 ph. 4W/L (Kms)</t>
  </si>
  <si>
    <t>c) Dist.Tfs 100 KVA (Nos)</t>
  </si>
  <si>
    <t xml:space="preserve"> TOTAL</t>
  </si>
  <si>
    <t>Grand Total</t>
  </si>
  <si>
    <t>STATEMENT SHOWING NON TARIFF INCOME  FROM 2015-16 TO 2022-23  (ANNEXURE-VIII)</t>
  </si>
  <si>
    <t>PHYSICAL AND FINANCIAL PHASING (FUTURE FIVE YEARS) ANNEXURE-IX</t>
  </si>
  <si>
    <t>THE CO-OP. ELECTRIC SUPPLY SOCIETY LTD.,SIRCILLA   (From 1-Apr-2018)</t>
  </si>
  <si>
    <t>Fixed Assets</t>
  </si>
  <si>
    <t>1-Apr-2020 to 31-Mar-2021</t>
  </si>
  <si>
    <t/>
  </si>
  <si>
    <t>Opening</t>
  </si>
  <si>
    <t>Transactions
1.4.2020 to 30.9.2020</t>
  </si>
  <si>
    <t>Transactions
1.10.2020 to 31.3.2021</t>
  </si>
  <si>
    <t>313.Distribution Plant H.V. Transformers 100kva</t>
  </si>
  <si>
    <t>314.DTRS  H.V.Transformers Below 100KVA</t>
  </si>
  <si>
    <t>315. DTRS Plant H.V. Switch Gears</t>
  </si>
  <si>
    <t>316-HVDS Distribution Transformers</t>
  </si>
  <si>
    <t>317.Dist.Plant H.V.Lines on Steel Or RCC Supports</t>
  </si>
  <si>
    <t>320.Dist.Plant H.V.Lighting Arrestors</t>
  </si>
  <si>
    <t>335. Dist.Plant M&amp;LV Switch Gears</t>
  </si>
  <si>
    <t>337.Dist.Plant M&amp;LV Lines on Steel Or RCC Support</t>
  </si>
  <si>
    <t>338-HVDS Dist.Plant H.T. Lines</t>
  </si>
  <si>
    <t>339-HVDS Dist.Plant LT Lines</t>
  </si>
  <si>
    <t>340. Dist.Plant M&amp;LV Lighting Arrestors</t>
  </si>
  <si>
    <t>344.Dist.Plant M&amp;LV Service Lines</t>
  </si>
  <si>
    <t>345.Dist.Plant M&amp;LV Metering Equipments</t>
  </si>
  <si>
    <t>350.Distribution Plant Public Lighting</t>
  </si>
  <si>
    <t>351-Capacitor Cells</t>
  </si>
  <si>
    <t>360.Land&amp;Rights Free Hold</t>
  </si>
  <si>
    <t>361 Land&amp;Rights Lease Hold Fences Etc.</t>
  </si>
  <si>
    <t>362-A Administration Building Main Office</t>
  </si>
  <si>
    <t>362.Administration Building Store</t>
  </si>
  <si>
    <t>362-B Admn.Building Mandal Offices</t>
  </si>
  <si>
    <t>362-C Admn.Building Generator Shed</t>
  </si>
  <si>
    <t>363-A Furniture &amp; Equipments Sports&amp;Games</t>
  </si>
  <si>
    <t>363-B Office Furniture &amp; Equipments (TV Set)</t>
  </si>
  <si>
    <t>363-Office Furniture &amp; Equipments</t>
  </si>
  <si>
    <t>364.Transportation Equipment</t>
  </si>
  <si>
    <t>365.Laboratary &amp; Metering Equipments RS Meters</t>
  </si>
  <si>
    <t>367.Tools &amp; Work Shop Equipment</t>
  </si>
  <si>
    <t>368-Geneator Equipment</t>
  </si>
  <si>
    <t>369.Misc.Equipment Transformers Filters</t>
  </si>
  <si>
    <t>385-Poles Mfg.Plant</t>
  </si>
  <si>
    <t>387-A Computer Site Preparation</t>
  </si>
  <si>
    <t>387B-C.C.Cameras</t>
  </si>
  <si>
    <t>387C- Laptop</t>
  </si>
  <si>
    <t>387-Computer Machine (Complete Set)</t>
  </si>
  <si>
    <t>388 Computer Printer</t>
  </si>
  <si>
    <t>389 Spot Billing Machines</t>
  </si>
  <si>
    <t>390 Fake Note Detector &amp; Counting Machine</t>
  </si>
  <si>
    <t>391-Xerox Machine</t>
  </si>
  <si>
    <t>392-Refregirator and Water Coolers</t>
  </si>
  <si>
    <t>ANNEXURE-X</t>
  </si>
  <si>
    <t xml:space="preserve">THE CO-OP. ELECTRIC SUPPLY SOCIETY LTD.,SIRCILLA  </t>
  </si>
  <si>
    <t>STATEMENT SHOWING H.T. SERVICES LIST IN CESS.LTD.SIRCILLA  (ANNEXURE-XI)</t>
  </si>
  <si>
    <t>Amount available with RESCO for power purchase 2022-23</t>
  </si>
  <si>
    <t>Amount available for power Purchase (5-4)</t>
  </si>
  <si>
    <t xml:space="preserve">Total (6+7) </t>
  </si>
  <si>
    <t xml:space="preserve"> Power Purchase Cost ( 6 )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</si>
</sst>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0.000"/>
    <numFmt numFmtId="167" formatCode="0.0000"/>
    <numFmt numFmtId="168" formatCode="&quot;&quot;0.00"/>
    <numFmt numFmtId="169" formatCode="&quot;&quot;0.00&quot; Cr&quot;"/>
    <numFmt numFmtId="170" formatCode="0.0"/>
  </numFmts>
  <fonts count="8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sz val="12"/>
      <name val="Cambria"/>
      <family val="1"/>
      <scheme val="major"/>
    </font>
    <font>
      <sz val="12"/>
      <color rgb="FFFF0000"/>
      <name val="Cambria"/>
      <family val="1"/>
      <scheme val="maj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b/>
      <sz val="10"/>
      <color rgb="FFFF0000"/>
      <name val="Arial Narrow"/>
      <family val="2"/>
    </font>
    <font>
      <sz val="11"/>
      <name val="Arial Narrow"/>
      <family val="2"/>
    </font>
    <font>
      <b/>
      <sz val="12"/>
      <color rgb="FFFF0000"/>
      <name val="Arial Narrow"/>
      <family val="2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b/>
      <sz val="11"/>
      <name val="Bookman Old Style"/>
      <family val="1"/>
    </font>
    <font>
      <sz val="11"/>
      <name val="Arial"/>
      <family val="2"/>
    </font>
    <font>
      <b/>
      <sz val="9"/>
      <name val="Times New Roman"/>
      <family val="1"/>
    </font>
    <font>
      <b/>
      <sz val="8"/>
      <name val="Times New Roman"/>
      <family val="1"/>
    </font>
    <font>
      <sz val="11"/>
      <name val="Times New Roman"/>
      <family val="1"/>
    </font>
    <font>
      <b/>
      <sz val="11"/>
      <color rgb="FFFF0000"/>
      <name val="Times New Roman"/>
      <family val="1"/>
    </font>
    <font>
      <sz val="9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sz val="9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3"/>
      <name val="Times New Roman"/>
      <family val="1"/>
    </font>
    <font>
      <sz val="10"/>
      <name val="Times New Roman"/>
      <family val="1"/>
    </font>
    <font>
      <b/>
      <u/>
      <sz val="13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</font>
    <font>
      <u/>
      <sz val="12"/>
      <name val="Times New Roman"/>
      <family val="1"/>
    </font>
    <font>
      <u/>
      <sz val="14"/>
      <name val="Times New Roman"/>
      <family val="1"/>
    </font>
    <font>
      <sz val="12"/>
      <name val="Times New Roman"/>
      <family val="1"/>
    </font>
    <font>
      <u/>
      <sz val="13"/>
      <name val="Times New Roman"/>
      <family val="1"/>
    </font>
    <font>
      <b/>
      <sz val="12"/>
      <color indexed="63"/>
      <name val="Arial Narrow"/>
      <family val="2"/>
    </font>
    <font>
      <b/>
      <i/>
      <sz val="12"/>
      <color indexed="63"/>
      <name val="Arial Narrow"/>
      <family val="2"/>
    </font>
    <font>
      <b/>
      <sz val="11"/>
      <color indexed="63"/>
      <name val="Arial Narrow"/>
      <family val="2"/>
    </font>
    <font>
      <sz val="11"/>
      <color indexed="63"/>
      <name val="Arial Narrow"/>
      <family val="2"/>
    </font>
    <font>
      <sz val="10"/>
      <color indexed="63"/>
      <name val="Arial Narrow"/>
      <family val="2"/>
    </font>
    <font>
      <sz val="10"/>
      <color theme="1"/>
      <name val="Arial Narrow"/>
      <family val="2"/>
    </font>
    <font>
      <b/>
      <sz val="10"/>
      <color indexed="63"/>
      <name val="Arial Narrow"/>
      <family val="2"/>
    </font>
    <font>
      <b/>
      <sz val="9"/>
      <color indexed="63"/>
      <name val="Arial Narrow"/>
      <family val="2"/>
    </font>
    <font>
      <i/>
      <sz val="11"/>
      <name val="Arial Narrow"/>
      <family val="2"/>
    </font>
    <font>
      <b/>
      <sz val="11"/>
      <name val="Arial Narrow"/>
      <family val="2"/>
    </font>
    <font>
      <b/>
      <sz val="10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2"/>
      <name val="Book Antiqua"/>
      <family val="1"/>
    </font>
    <font>
      <sz val="12"/>
      <name val="Book Antiqua"/>
      <family val="1"/>
    </font>
    <font>
      <sz val="8"/>
      <name val="Arial Narrow"/>
      <family val="2"/>
    </font>
    <font>
      <sz val="9"/>
      <color rgb="FFFF0000"/>
      <name val="Arial Narrow"/>
      <family val="2"/>
    </font>
    <font>
      <b/>
      <sz val="9"/>
      <name val="Arial Narrow"/>
      <family val="2"/>
    </font>
    <font>
      <b/>
      <sz val="9"/>
      <color rgb="FF0070C0"/>
      <name val="Arial Narrow"/>
      <family val="2"/>
    </font>
    <font>
      <b/>
      <sz val="9"/>
      <color rgb="FFFF0000"/>
      <name val="Arial Narrow"/>
      <family val="2"/>
    </font>
    <font>
      <sz val="9"/>
      <color theme="1"/>
      <name val="Bookman Old Style"/>
      <family val="1"/>
    </font>
    <font>
      <b/>
      <sz val="10"/>
      <color theme="1"/>
      <name val="Arial Narrow"/>
      <family val="2"/>
    </font>
    <font>
      <b/>
      <sz val="9"/>
      <color theme="1"/>
      <name val="Bookman Old Style"/>
      <family val="1"/>
    </font>
    <font>
      <sz val="12"/>
      <name val="Arial"/>
      <family val="2"/>
    </font>
    <font>
      <sz val="12"/>
      <color indexed="63"/>
      <name val="Arial Narrow"/>
      <family val="2"/>
    </font>
    <font>
      <i/>
      <sz val="12"/>
      <name val="Arial Narrow"/>
      <family val="2"/>
    </font>
    <font>
      <b/>
      <i/>
      <sz val="11"/>
      <name val="Arial Narrow"/>
      <family val="2"/>
    </font>
    <font>
      <sz val="11"/>
      <name val="Bookman Old Style"/>
      <family val="1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Trebuchet MS"/>
      <family val="2"/>
    </font>
    <font>
      <b/>
      <u/>
      <sz val="8"/>
      <name val="Trebuchet MS"/>
      <family val="2"/>
    </font>
    <font>
      <b/>
      <sz val="8"/>
      <name val="Trebuchet MS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0" fillId="0" borderId="0" applyFont="0" applyFill="0" applyBorder="0" applyAlignment="0" applyProtection="0"/>
    <xf numFmtId="0" fontId="10" fillId="0" borderId="0"/>
    <xf numFmtId="43" fontId="18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495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Border="1"/>
    <xf numFmtId="2" fontId="0" fillId="0" borderId="1" xfId="0" applyNumberFormat="1" applyBorder="1"/>
    <xf numFmtId="0" fontId="6" fillId="0" borderId="1" xfId="0" applyFont="1" applyBorder="1"/>
    <xf numFmtId="2" fontId="6" fillId="0" borderId="1" xfId="0" applyNumberFormat="1" applyFont="1" applyBorder="1"/>
    <xf numFmtId="0" fontId="0" fillId="0" borderId="1" xfId="0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164" fontId="14" fillId="0" borderId="0" xfId="1" applyFont="1"/>
    <xf numFmtId="164" fontId="14" fillId="0" borderId="1" xfId="1" applyFont="1" applyBorder="1" applyAlignment="1">
      <alignment horizontal="center" vertical="center" wrapText="1"/>
    </xf>
    <xf numFmtId="164" fontId="14" fillId="0" borderId="1" xfId="1" applyFont="1" applyBorder="1" applyAlignment="1">
      <alignment horizontal="center" vertical="center"/>
    </xf>
    <xf numFmtId="164" fontId="14" fillId="0" borderId="1" xfId="1" applyFont="1" applyBorder="1" applyAlignment="1">
      <alignment horizontal="center" wrapText="1"/>
    </xf>
    <xf numFmtId="0" fontId="14" fillId="0" borderId="1" xfId="1" applyNumberFormat="1" applyFont="1" applyBorder="1" applyAlignment="1">
      <alignment horizontal="center"/>
    </xf>
    <xf numFmtId="164" fontId="14" fillId="0" borderId="1" xfId="1" applyFont="1" applyBorder="1"/>
    <xf numFmtId="164" fontId="14" fillId="0" borderId="1" xfId="1" applyFont="1" applyBorder="1" applyAlignment="1">
      <alignment shrinkToFit="1"/>
    </xf>
    <xf numFmtId="164" fontId="14" fillId="0" borderId="1" xfId="2" applyNumberFormat="1" applyFont="1" applyBorder="1" applyAlignment="1">
      <alignment shrinkToFit="1"/>
    </xf>
    <xf numFmtId="0" fontId="13" fillId="0" borderId="0" xfId="2" applyFont="1"/>
    <xf numFmtId="164" fontId="13" fillId="0" borderId="0" xfId="2" applyNumberFormat="1" applyFont="1"/>
    <xf numFmtId="0" fontId="12" fillId="0" borderId="0" xfId="2" applyFont="1"/>
    <xf numFmtId="164" fontId="16" fillId="0" borderId="1" xfId="1" applyFont="1" applyBorder="1" applyAlignment="1">
      <alignment wrapText="1"/>
    </xf>
    <xf numFmtId="164" fontId="14" fillId="0" borderId="1" xfId="1" applyFont="1" applyBorder="1" applyAlignment="1">
      <alignment wrapText="1"/>
    </xf>
    <xf numFmtId="0" fontId="14" fillId="0" borderId="1" xfId="2" applyFont="1" applyBorder="1" applyAlignment="1">
      <alignment shrinkToFit="1"/>
    </xf>
    <xf numFmtId="164" fontId="12" fillId="0" borderId="0" xfId="1" applyFont="1"/>
    <xf numFmtId="164" fontId="11" fillId="0" borderId="1" xfId="1" applyFont="1" applyBorder="1"/>
    <xf numFmtId="164" fontId="11" fillId="0" borderId="1" xfId="1" applyFont="1" applyBorder="1" applyAlignment="1">
      <alignment shrinkToFit="1"/>
    </xf>
    <xf numFmtId="164" fontId="13" fillId="0" borderId="0" xfId="1" applyFont="1"/>
    <xf numFmtId="9" fontId="13" fillId="0" borderId="0" xfId="2" applyNumberFormat="1" applyFont="1"/>
    <xf numFmtId="0" fontId="15" fillId="0" borderId="0" xfId="2" applyFont="1"/>
    <xf numFmtId="164" fontId="11" fillId="0" borderId="1" xfId="2" applyNumberFormat="1" applyFont="1" applyBorder="1" applyAlignment="1">
      <alignment shrinkToFit="1"/>
    </xf>
    <xf numFmtId="43" fontId="14" fillId="0" borderId="1" xfId="3" applyFont="1" applyBorder="1" applyAlignment="1">
      <alignment shrinkToFit="1"/>
    </xf>
    <xf numFmtId="0" fontId="21" fillId="0" borderId="0" xfId="2" applyFont="1" applyAlignment="1">
      <alignment wrapText="1"/>
    </xf>
    <xf numFmtId="0" fontId="22" fillId="0" borderId="1" xfId="2" applyFont="1" applyBorder="1" applyAlignment="1">
      <alignment horizontal="center" vertical="center" wrapText="1"/>
    </xf>
    <xf numFmtId="164" fontId="22" fillId="0" borderId="1" xfId="1" applyFont="1" applyBorder="1" applyAlignment="1">
      <alignment horizontal="center" vertical="center" wrapText="1"/>
    </xf>
    <xf numFmtId="9" fontId="22" fillId="0" borderId="1" xfId="4" applyFont="1" applyBorder="1" applyAlignment="1">
      <alignment horizontal="center" vertical="center" wrapText="1"/>
    </xf>
    <xf numFmtId="164" fontId="23" fillId="0" borderId="1" xfId="1" applyFont="1" applyBorder="1" applyAlignment="1">
      <alignment horizontal="center" vertical="center" wrapText="1"/>
    </xf>
    <xf numFmtId="10" fontId="22" fillId="0" borderId="1" xfId="4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wrapText="1"/>
    </xf>
    <xf numFmtId="0" fontId="24" fillId="0" borderId="1" xfId="2" applyFont="1" applyBorder="1" applyAlignment="1">
      <alignment horizontal="center" wrapText="1"/>
    </xf>
    <xf numFmtId="0" fontId="24" fillId="0" borderId="1" xfId="2" applyFont="1" applyBorder="1" applyAlignment="1">
      <alignment wrapText="1"/>
    </xf>
    <xf numFmtId="164" fontId="24" fillId="0" borderId="1" xfId="1" applyFont="1" applyBorder="1" applyAlignment="1">
      <alignment horizontal="right" wrapText="1"/>
    </xf>
    <xf numFmtId="10" fontId="24" fillId="0" borderId="1" xfId="4" applyNumberFormat="1" applyFont="1" applyBorder="1" applyAlignment="1">
      <alignment horizontal="right" wrapText="1"/>
    </xf>
    <xf numFmtId="164" fontId="21" fillId="0" borderId="1" xfId="2" applyNumberFormat="1" applyFont="1" applyBorder="1" applyAlignment="1">
      <alignment wrapText="1"/>
    </xf>
    <xf numFmtId="0" fontId="24" fillId="0" borderId="1" xfId="2" applyFont="1" applyBorder="1" applyAlignment="1">
      <alignment horizontal="left" wrapText="1"/>
    </xf>
    <xf numFmtId="0" fontId="21" fillId="0" borderId="1" xfId="2" applyFont="1" applyBorder="1" applyAlignment="1">
      <alignment wrapText="1"/>
    </xf>
    <xf numFmtId="0" fontId="30" fillId="0" borderId="1" xfId="2" applyFont="1" applyBorder="1" applyAlignment="1">
      <alignment wrapText="1"/>
    </xf>
    <xf numFmtId="0" fontId="33" fillId="0" borderId="1" xfId="2" applyFont="1" applyBorder="1" applyAlignment="1">
      <alignment wrapText="1"/>
    </xf>
    <xf numFmtId="164" fontId="21" fillId="0" borderId="0" xfId="2" applyNumberFormat="1" applyFont="1" applyAlignment="1">
      <alignment wrapText="1"/>
    </xf>
    <xf numFmtId="166" fontId="21" fillId="0" borderId="0" xfId="2" applyNumberFormat="1" applyFont="1" applyAlignment="1">
      <alignment wrapText="1"/>
    </xf>
    <xf numFmtId="164" fontId="30" fillId="0" borderId="0" xfId="1" applyFont="1" applyBorder="1" applyAlignment="1">
      <alignment horizontal="center" wrapText="1"/>
    </xf>
    <xf numFmtId="0" fontId="37" fillId="0" borderId="0" xfId="2" applyFont="1"/>
    <xf numFmtId="0" fontId="40" fillId="0" borderId="1" xfId="2" applyFont="1" applyBorder="1" applyAlignment="1">
      <alignment horizontal="center"/>
    </xf>
    <xf numFmtId="0" fontId="40" fillId="0" borderId="1" xfId="2" applyFont="1" applyBorder="1" applyAlignment="1">
      <alignment horizontal="left" vertical="center" wrapText="1"/>
    </xf>
    <xf numFmtId="164" fontId="37" fillId="0" borderId="1" xfId="1" applyFont="1" applyBorder="1" applyAlignment="1">
      <alignment horizontal="center"/>
    </xf>
    <xf numFmtId="164" fontId="40" fillId="0" borderId="1" xfId="1" applyFont="1" applyBorder="1" applyAlignment="1"/>
    <xf numFmtId="10" fontId="40" fillId="0" borderId="1" xfId="4" applyNumberFormat="1" applyFont="1" applyBorder="1" applyAlignment="1">
      <alignment horizontal="center"/>
    </xf>
    <xf numFmtId="0" fontId="37" fillId="0" borderId="1" xfId="2" applyFont="1" applyBorder="1"/>
    <xf numFmtId="0" fontId="40" fillId="0" borderId="1" xfId="2" applyFont="1" applyBorder="1" applyAlignment="1">
      <alignment horizontal="left" vertical="center"/>
    </xf>
    <xf numFmtId="164" fontId="37" fillId="0" borderId="1" xfId="2" applyNumberFormat="1" applyFont="1" applyBorder="1"/>
    <xf numFmtId="164" fontId="37" fillId="0" borderId="0" xfId="2" applyNumberFormat="1" applyFont="1"/>
    <xf numFmtId="0" fontId="36" fillId="0" borderId="1" xfId="2" applyFont="1" applyBorder="1" applyAlignment="1">
      <alignment horizontal="left"/>
    </xf>
    <xf numFmtId="0" fontId="36" fillId="0" borderId="1" xfId="2" applyFont="1" applyBorder="1"/>
    <xf numFmtId="0" fontId="36" fillId="0" borderId="1" xfId="2" applyFont="1" applyBorder="1" applyAlignment="1">
      <alignment horizontal="center"/>
    </xf>
    <xf numFmtId="164" fontId="36" fillId="0" borderId="1" xfId="1" applyFont="1" applyBorder="1" applyAlignment="1"/>
    <xf numFmtId="164" fontId="36" fillId="0" borderId="1" xfId="1" applyFont="1" applyBorder="1" applyAlignment="1">
      <alignment horizontal="center"/>
    </xf>
    <xf numFmtId="0" fontId="36" fillId="0" borderId="0" xfId="2" applyFont="1" applyAlignment="1">
      <alignment horizontal="left"/>
    </xf>
    <xf numFmtId="0" fontId="36" fillId="0" borderId="0" xfId="2" applyFont="1"/>
    <xf numFmtId="0" fontId="36" fillId="0" borderId="0" xfId="2" applyFont="1" applyAlignment="1">
      <alignment horizontal="center"/>
    </xf>
    <xf numFmtId="164" fontId="22" fillId="0" borderId="0" xfId="1" applyFont="1" applyBorder="1" applyAlignment="1">
      <alignment horizontal="right"/>
    </xf>
    <xf numFmtId="164" fontId="36" fillId="0" borderId="0" xfId="1" applyFont="1" applyBorder="1" applyAlignment="1">
      <alignment horizontal="right"/>
    </xf>
    <xf numFmtId="164" fontId="36" fillId="0" borderId="0" xfId="1" applyFont="1" applyBorder="1" applyAlignment="1">
      <alignment horizontal="center"/>
    </xf>
    <xf numFmtId="0" fontId="39" fillId="0" borderId="0" xfId="2" applyFont="1"/>
    <xf numFmtId="43" fontId="37" fillId="0" borderId="0" xfId="2" applyNumberFormat="1" applyFont="1"/>
    <xf numFmtId="0" fontId="41" fillId="0" borderId="0" xfId="2" applyFont="1"/>
    <xf numFmtId="0" fontId="42" fillId="0" borderId="0" xfId="2" applyFont="1"/>
    <xf numFmtId="0" fontId="43" fillId="0" borderId="0" xfId="2" applyFont="1"/>
    <xf numFmtId="164" fontId="43" fillId="0" borderId="0" xfId="2" applyNumberFormat="1" applyFont="1"/>
    <xf numFmtId="0" fontId="40" fillId="0" borderId="0" xfId="2" applyFont="1"/>
    <xf numFmtId="0" fontId="40" fillId="0" borderId="0" xfId="2" applyFont="1" applyAlignment="1">
      <alignment horizontal="right"/>
    </xf>
    <xf numFmtId="164" fontId="40" fillId="0" borderId="0" xfId="2" applyNumberFormat="1" applyFont="1"/>
    <xf numFmtId="164" fontId="43" fillId="0" borderId="5" xfId="2" applyNumberFormat="1" applyFont="1" applyBorder="1"/>
    <xf numFmtId="0" fontId="36" fillId="0" borderId="0" xfId="2" applyFont="1" applyAlignment="1">
      <alignment horizontal="right"/>
    </xf>
    <xf numFmtId="164" fontId="36" fillId="0" borderId="5" xfId="2" applyNumberFormat="1" applyFont="1" applyBorder="1" applyAlignment="1">
      <alignment shrinkToFit="1"/>
    </xf>
    <xf numFmtId="0" fontId="43" fillId="0" borderId="0" xfId="2" applyFont="1" applyAlignment="1">
      <alignment horizontal="center"/>
    </xf>
    <xf numFmtId="0" fontId="44" fillId="0" borderId="0" xfId="2" applyFont="1"/>
    <xf numFmtId="164" fontId="40" fillId="0" borderId="5" xfId="2" applyNumberFormat="1" applyFont="1" applyBorder="1"/>
    <xf numFmtId="2" fontId="37" fillId="0" borderId="0" xfId="2" applyNumberFormat="1" applyFont="1"/>
    <xf numFmtId="167" fontId="37" fillId="0" borderId="0" xfId="2" applyNumberFormat="1" applyFont="1"/>
    <xf numFmtId="0" fontId="16" fillId="0" borderId="7" xfId="2" applyFont="1" applyBorder="1" applyAlignment="1">
      <alignment horizontal="center" wrapText="1"/>
    </xf>
    <xf numFmtId="0" fontId="16" fillId="0" borderId="8" xfId="2" applyFont="1" applyBorder="1" applyAlignment="1">
      <alignment horizontal="center"/>
    </xf>
    <xf numFmtId="0" fontId="16" fillId="0" borderId="9" xfId="2" applyFont="1" applyBorder="1" applyAlignment="1">
      <alignment horizontal="center"/>
    </xf>
    <xf numFmtId="0" fontId="47" fillId="0" borderId="10" xfId="2" applyFont="1" applyBorder="1" applyAlignment="1">
      <alignment horizontal="left" vertical="top" indent="2"/>
    </xf>
    <xf numFmtId="0" fontId="14" fillId="0" borderId="10" xfId="2" applyFont="1" applyBorder="1" applyAlignment="1">
      <alignment horizontal="center"/>
    </xf>
    <xf numFmtId="0" fontId="49" fillId="0" borderId="11" xfId="2" applyFont="1" applyBorder="1" applyAlignment="1">
      <alignment vertical="top"/>
    </xf>
    <xf numFmtId="164" fontId="13" fillId="0" borderId="10" xfId="1" applyFont="1" applyBorder="1" applyAlignment="1">
      <alignment vertical="center"/>
    </xf>
    <xf numFmtId="164" fontId="50" fillId="0" borderId="10" xfId="1" applyFont="1" applyBorder="1" applyAlignment="1">
      <alignment horizontal="right" vertical="center"/>
    </xf>
    <xf numFmtId="164" fontId="12" fillId="0" borderId="10" xfId="1" applyFont="1" applyBorder="1" applyAlignment="1">
      <alignment vertical="center"/>
    </xf>
    <xf numFmtId="164" fontId="50" fillId="0" borderId="10" xfId="1" applyFont="1" applyBorder="1" applyAlignment="1">
      <alignment vertical="center"/>
    </xf>
    <xf numFmtId="43" fontId="13" fillId="0" borderId="0" xfId="2" applyNumberFormat="1" applyFont="1"/>
    <xf numFmtId="0" fontId="13" fillId="0" borderId="10" xfId="2" applyFont="1" applyBorder="1" applyAlignment="1">
      <alignment vertical="center"/>
    </xf>
    <xf numFmtId="0" fontId="51" fillId="0" borderId="10" xfId="2" applyFont="1" applyBorder="1" applyAlignment="1">
      <alignment horizontal="left" vertical="top" indent="2"/>
    </xf>
    <xf numFmtId="164" fontId="51" fillId="0" borderId="10" xfId="1" applyFont="1" applyBorder="1" applyAlignment="1">
      <alignment horizontal="right" vertical="center"/>
    </xf>
    <xf numFmtId="164" fontId="52" fillId="0" borderId="10" xfId="1" applyFont="1" applyBorder="1" applyAlignment="1">
      <alignment horizontal="right" vertical="center"/>
    </xf>
    <xf numFmtId="0" fontId="49" fillId="0" borderId="0" xfId="2" applyFont="1"/>
    <xf numFmtId="0" fontId="13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48" fillId="0" borderId="10" xfId="2" applyFont="1" applyBorder="1" applyAlignment="1">
      <alignment vertical="top"/>
    </xf>
    <xf numFmtId="164" fontId="19" fillId="0" borderId="10" xfId="1" applyFont="1" applyBorder="1" applyAlignment="1">
      <alignment vertical="center"/>
    </xf>
    <xf numFmtId="0" fontId="47" fillId="0" borderId="10" xfId="2" applyFont="1" applyBorder="1" applyAlignment="1">
      <alignment vertical="top"/>
    </xf>
    <xf numFmtId="164" fontId="13" fillId="0" borderId="10" xfId="2" applyNumberFormat="1" applyFont="1" applyBorder="1" applyAlignment="1">
      <alignment vertical="center"/>
    </xf>
    <xf numFmtId="164" fontId="12" fillId="0" borderId="0" xfId="2" applyNumberFormat="1" applyFont="1" applyAlignment="1">
      <alignment vertical="center"/>
    </xf>
    <xf numFmtId="164" fontId="13" fillId="0" borderId="0" xfId="2" applyNumberFormat="1" applyFont="1" applyAlignment="1">
      <alignment vertical="center"/>
    </xf>
    <xf numFmtId="43" fontId="13" fillId="0" borderId="0" xfId="2" applyNumberFormat="1" applyFont="1" applyAlignment="1">
      <alignment vertical="center"/>
    </xf>
    <xf numFmtId="0" fontId="10" fillId="0" borderId="0" xfId="2"/>
    <xf numFmtId="0" fontId="47" fillId="0" borderId="0" xfId="2" applyFont="1" applyAlignment="1">
      <alignment horizontal="center" vertical="top" wrapText="1"/>
    </xf>
    <xf numFmtId="164" fontId="16" fillId="0" borderId="10" xfId="1" applyFont="1" applyBorder="1"/>
    <xf numFmtId="164" fontId="54" fillId="0" borderId="10" xfId="1" applyFont="1" applyBorder="1" applyAlignment="1">
      <alignment shrinkToFit="1"/>
    </xf>
    <xf numFmtId="164" fontId="14" fillId="0" borderId="10" xfId="1" applyFont="1" applyBorder="1" applyAlignment="1">
      <alignment horizontal="center"/>
    </xf>
    <xf numFmtId="43" fontId="14" fillId="0" borderId="10" xfId="2" applyNumberFormat="1" applyFont="1" applyBorder="1" applyAlignment="1">
      <alignment horizontal="center"/>
    </xf>
    <xf numFmtId="17" fontId="48" fillId="0" borderId="10" xfId="2" applyNumberFormat="1" applyFont="1" applyBorder="1" applyAlignment="1">
      <alignment vertical="top" shrinkToFit="1"/>
    </xf>
    <xf numFmtId="17" fontId="48" fillId="0" borderId="10" xfId="2" applyNumberFormat="1" applyFont="1" applyBorder="1" applyAlignment="1">
      <alignment vertical="top"/>
    </xf>
    <xf numFmtId="43" fontId="11" fillId="0" borderId="10" xfId="2" applyNumberFormat="1" applyFont="1" applyBorder="1" applyAlignment="1">
      <alignment horizontal="center"/>
    </xf>
    <xf numFmtId="164" fontId="14" fillId="0" borderId="10" xfId="2" applyNumberFormat="1" applyFont="1" applyBorder="1" applyAlignment="1">
      <alignment horizontal="center"/>
    </xf>
    <xf numFmtId="43" fontId="10" fillId="0" borderId="0" xfId="2" applyNumberFormat="1"/>
    <xf numFmtId="164" fontId="14" fillId="0" borderId="8" xfId="1" applyFont="1" applyFill="1" applyBorder="1" applyAlignment="1">
      <alignment horizontal="center"/>
    </xf>
    <xf numFmtId="43" fontId="55" fillId="0" borderId="0" xfId="2" applyNumberFormat="1" applyFont="1"/>
    <xf numFmtId="164" fontId="0" fillId="0" borderId="0" xfId="1" applyFont="1"/>
    <xf numFmtId="10" fontId="10" fillId="0" borderId="0" xfId="2" applyNumberFormat="1"/>
    <xf numFmtId="0" fontId="55" fillId="0" borderId="0" xfId="2" applyFont="1"/>
    <xf numFmtId="164" fontId="14" fillId="0" borderId="10" xfId="1" applyFont="1" applyFill="1" applyBorder="1" applyAlignment="1">
      <alignment horizontal="center"/>
    </xf>
    <xf numFmtId="43" fontId="10" fillId="0" borderId="10" xfId="2" applyNumberFormat="1" applyBorder="1"/>
    <xf numFmtId="0" fontId="10" fillId="0" borderId="10" xfId="2" applyBorder="1"/>
    <xf numFmtId="164" fontId="0" fillId="0" borderId="10" xfId="1" applyFont="1" applyBorder="1"/>
    <xf numFmtId="2" fontId="0" fillId="0" borderId="0" xfId="0" applyNumberFormat="1"/>
    <xf numFmtId="0" fontId="14" fillId="0" borderId="16" xfId="1" applyNumberFormat="1" applyFont="1" applyBorder="1" applyAlignment="1">
      <alignment horizontal="center"/>
    </xf>
    <xf numFmtId="164" fontId="14" fillId="0" borderId="16" xfId="1" applyFont="1" applyBorder="1"/>
    <xf numFmtId="164" fontId="14" fillId="0" borderId="16" xfId="2" applyNumberFormat="1" applyFont="1" applyBorder="1" applyAlignment="1">
      <alignment shrinkToFit="1"/>
    </xf>
    <xf numFmtId="43" fontId="14" fillId="0" borderId="16" xfId="3" applyFont="1" applyBorder="1" applyAlignment="1">
      <alignment shrinkToFit="1"/>
    </xf>
    <xf numFmtId="0" fontId="9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43" fontId="9" fillId="0" borderId="16" xfId="3" applyFont="1" applyBorder="1" applyAlignment="1">
      <alignment horizontal="left" vertical="center"/>
    </xf>
    <xf numFmtId="43" fontId="9" fillId="0" borderId="16" xfId="3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43" fontId="7" fillId="0" borderId="16" xfId="3" applyFont="1" applyBorder="1" applyAlignment="1">
      <alignment horizontal="left" vertical="center"/>
    </xf>
    <xf numFmtId="43" fontId="9" fillId="0" borderId="16" xfId="3" applyFont="1" applyBorder="1"/>
    <xf numFmtId="43" fontId="9" fillId="0" borderId="16" xfId="0" applyNumberFormat="1" applyFont="1" applyBorder="1"/>
    <xf numFmtId="43" fontId="7" fillId="0" borderId="16" xfId="3" applyFont="1" applyBorder="1"/>
    <xf numFmtId="43" fontId="7" fillId="0" borderId="16" xfId="0" applyNumberFormat="1" applyFont="1" applyBorder="1"/>
    <xf numFmtId="0" fontId="57" fillId="0" borderId="0" xfId="0" applyFont="1"/>
    <xf numFmtId="0" fontId="57" fillId="0" borderId="1" xfId="0" applyFont="1" applyBorder="1" applyAlignment="1">
      <alignment horizontal="center"/>
    </xf>
    <xf numFmtId="0" fontId="57" fillId="0" borderId="1" xfId="0" applyFont="1" applyBorder="1"/>
    <xf numFmtId="0" fontId="14" fillId="0" borderId="1" xfId="0" applyFont="1" applyBorder="1"/>
    <xf numFmtId="0" fontId="57" fillId="0" borderId="1" xfId="0" applyFont="1" applyFill="1" applyBorder="1" applyAlignment="1">
      <alignment horizontal="center"/>
    </xf>
    <xf numFmtId="0" fontId="57" fillId="0" borderId="1" xfId="0" applyFont="1" applyFill="1" applyBorder="1"/>
    <xf numFmtId="0" fontId="56" fillId="0" borderId="1" xfId="0" applyFont="1" applyBorder="1"/>
    <xf numFmtId="0" fontId="0" fillId="0" borderId="16" xfId="0" applyBorder="1"/>
    <xf numFmtId="2" fontId="0" fillId="0" borderId="16" xfId="0" applyNumberFormat="1" applyBorder="1"/>
    <xf numFmtId="0" fontId="30" fillId="0" borderId="1" xfId="2" applyFont="1" applyBorder="1" applyAlignment="1">
      <alignment horizontal="center" wrapText="1"/>
    </xf>
    <xf numFmtId="0" fontId="45" fillId="0" borderId="0" xfId="2" applyFont="1" applyAlignment="1">
      <alignment horizontal="center" vertical="top" wrapText="1"/>
    </xf>
    <xf numFmtId="2" fontId="6" fillId="0" borderId="16" xfId="0" applyNumberFormat="1" applyFont="1" applyBorder="1"/>
    <xf numFmtId="0" fontId="60" fillId="0" borderId="0" xfId="2" applyFont="1"/>
    <xf numFmtId="2" fontId="60" fillId="0" borderId="0" xfId="2" applyNumberFormat="1" applyFont="1"/>
    <xf numFmtId="164" fontId="60" fillId="0" borderId="0" xfId="1" applyFont="1"/>
    <xf numFmtId="164" fontId="60" fillId="0" borderId="0" xfId="2" applyNumberFormat="1" applyFont="1"/>
    <xf numFmtId="43" fontId="60" fillId="0" borderId="0" xfId="2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shrinkToFit="1"/>
    </xf>
    <xf numFmtId="3" fontId="0" fillId="0" borderId="1" xfId="0" applyNumberFormat="1" applyBorder="1" applyAlignment="1">
      <alignment shrinkToFit="1"/>
    </xf>
    <xf numFmtId="0" fontId="0" fillId="0" borderId="0" xfId="0" applyAlignment="1">
      <alignment shrinkToFit="1"/>
    </xf>
    <xf numFmtId="0" fontId="50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2" fontId="6" fillId="0" borderId="0" xfId="0" applyNumberFormat="1" applyFont="1" applyBorder="1"/>
    <xf numFmtId="0" fontId="19" fillId="0" borderId="0" xfId="2" applyFont="1"/>
    <xf numFmtId="0" fontId="19" fillId="0" borderId="0" xfId="2" applyFont="1" applyAlignment="1">
      <alignment horizontal="center"/>
    </xf>
    <xf numFmtId="164" fontId="19" fillId="0" borderId="0" xfId="2" applyNumberFormat="1" applyFont="1"/>
    <xf numFmtId="164" fontId="19" fillId="0" borderId="0" xfId="1" applyFont="1"/>
    <xf numFmtId="164" fontId="61" fillId="0" borderId="0" xfId="2" applyNumberFormat="1" applyFont="1"/>
    <xf numFmtId="0" fontId="62" fillId="0" borderId="0" xfId="2" applyFont="1"/>
    <xf numFmtId="0" fontId="63" fillId="0" borderId="0" xfId="2" applyFont="1" applyAlignment="1">
      <alignment wrapText="1"/>
    </xf>
    <xf numFmtId="0" fontId="63" fillId="0" borderId="0" xfId="2" applyFont="1"/>
    <xf numFmtId="17" fontId="63" fillId="0" borderId="0" xfId="2" applyNumberFormat="1" applyFont="1"/>
    <xf numFmtId="17" fontId="64" fillId="0" borderId="0" xfId="2" applyNumberFormat="1" applyFont="1"/>
    <xf numFmtId="17" fontId="65" fillId="0" borderId="0" xfId="2" applyNumberFormat="1" applyFont="1"/>
    <xf numFmtId="0" fontId="65" fillId="0" borderId="0" xfId="2" applyFont="1" applyAlignment="1">
      <alignment wrapText="1"/>
    </xf>
    <xf numFmtId="0" fontId="65" fillId="0" borderId="0" xfId="2" applyFont="1"/>
    <xf numFmtId="0" fontId="66" fillId="0" borderId="0" xfId="2" applyFont="1"/>
    <xf numFmtId="0" fontId="67" fillId="0" borderId="1" xfId="2" applyFont="1" applyBorder="1"/>
    <xf numFmtId="2" fontId="50" fillId="0" borderId="1" xfId="2" applyNumberFormat="1" applyFont="1" applyBorder="1"/>
    <xf numFmtId="0" fontId="67" fillId="0" borderId="1" xfId="2" applyFont="1" applyBorder="1" applyAlignment="1">
      <alignment horizontal="center"/>
    </xf>
    <xf numFmtId="0" fontId="50" fillId="0" borderId="1" xfId="2" applyFont="1" applyBorder="1"/>
    <xf numFmtId="2" fontId="66" fillId="0" borderId="0" xfId="2" applyNumberFormat="1" applyFont="1"/>
    <xf numFmtId="164" fontId="50" fillId="0" borderId="1" xfId="1" applyFont="1" applyBorder="1"/>
    <xf numFmtId="0" fontId="57" fillId="0" borderId="3" xfId="2" applyFont="1" applyBorder="1"/>
    <xf numFmtId="164" fontId="57" fillId="0" borderId="1" xfId="1" applyFont="1" applyBorder="1"/>
    <xf numFmtId="17" fontId="57" fillId="0" borderId="3" xfId="2" applyNumberFormat="1" applyFont="1" applyBorder="1"/>
    <xf numFmtId="0" fontId="50" fillId="0" borderId="0" xfId="2" applyFont="1"/>
    <xf numFmtId="0" fontId="67" fillId="0" borderId="0" xfId="2" applyFont="1" applyAlignment="1">
      <alignment horizontal="center"/>
    </xf>
    <xf numFmtId="0" fontId="57" fillId="0" borderId="3" xfId="2" applyFont="1" applyBorder="1" applyAlignment="1">
      <alignment wrapText="1"/>
    </xf>
    <xf numFmtId="164" fontId="50" fillId="0" borderId="0" xfId="2" applyNumberFormat="1" applyFont="1"/>
    <xf numFmtId="165" fontId="67" fillId="0" borderId="0" xfId="1" applyNumberFormat="1" applyFont="1"/>
    <xf numFmtId="17" fontId="50" fillId="0" borderId="1" xfId="2" applyNumberFormat="1" applyFont="1" applyBorder="1"/>
    <xf numFmtId="0" fontId="67" fillId="0" borderId="0" xfId="2" applyFont="1"/>
    <xf numFmtId="0" fontId="56" fillId="0" borderId="3" xfId="2" applyFont="1" applyBorder="1"/>
    <xf numFmtId="164" fontId="56" fillId="0" borderId="1" xfId="2" applyNumberFormat="1" applyFont="1" applyBorder="1"/>
    <xf numFmtId="2" fontId="67" fillId="0" borderId="0" xfId="2" applyNumberFormat="1" applyFont="1"/>
    <xf numFmtId="43" fontId="68" fillId="0" borderId="0" xfId="2" applyNumberFormat="1" applyFont="1"/>
    <xf numFmtId="0" fontId="68" fillId="0" borderId="0" xfId="2" applyFont="1"/>
    <xf numFmtId="0" fontId="57" fillId="0" borderId="1" xfId="2" applyFont="1" applyBorder="1"/>
    <xf numFmtId="17" fontId="57" fillId="0" borderId="1" xfId="2" applyNumberFormat="1" applyFont="1" applyBorder="1" applyAlignment="1">
      <alignment horizontal="left" wrapText="1"/>
    </xf>
    <xf numFmtId="164" fontId="67" fillId="0" borderId="1" xfId="1" applyFont="1" applyBorder="1"/>
    <xf numFmtId="43" fontId="67" fillId="0" borderId="0" xfId="2" applyNumberFormat="1" applyFont="1"/>
    <xf numFmtId="17" fontId="57" fillId="0" borderId="1" xfId="2" applyNumberFormat="1" applyFont="1" applyBorder="1"/>
    <xf numFmtId="0" fontId="56" fillId="0" borderId="1" xfId="2" applyFont="1" applyBorder="1"/>
    <xf numFmtId="0" fontId="66" fillId="0" borderId="0" xfId="2" applyFont="1" applyAlignment="1">
      <alignment shrinkToFit="1"/>
    </xf>
    <xf numFmtId="43" fontId="66" fillId="0" borderId="0" xfId="2" applyNumberFormat="1" applyFont="1"/>
    <xf numFmtId="164" fontId="50" fillId="0" borderId="0" xfId="1" applyFont="1"/>
    <xf numFmtId="0" fontId="66" fillId="0" borderId="1" xfId="2" applyFont="1" applyBorder="1"/>
    <xf numFmtId="164" fontId="66" fillId="0" borderId="1" xfId="1" applyFont="1" applyBorder="1"/>
    <xf numFmtId="0" fontId="68" fillId="0" borderId="1" xfId="2" applyFont="1" applyBorder="1" applyAlignment="1">
      <alignment shrinkToFit="1"/>
    </xf>
    <xf numFmtId="164" fontId="68" fillId="0" borderId="1" xfId="1" applyFont="1" applyBorder="1"/>
    <xf numFmtId="0" fontId="68" fillId="0" borderId="1" xfId="2" applyFont="1" applyBorder="1" applyAlignment="1">
      <alignment horizontal="center"/>
    </xf>
    <xf numFmtId="43" fontId="66" fillId="0" borderId="1" xfId="3" applyFont="1" applyBorder="1"/>
    <xf numFmtId="0" fontId="68" fillId="0" borderId="1" xfId="2" applyFont="1" applyBorder="1"/>
    <xf numFmtId="43" fontId="68" fillId="0" borderId="1" xfId="3" applyFont="1" applyBorder="1"/>
    <xf numFmtId="164" fontId="21" fillId="0" borderId="1" xfId="2" applyNumberFormat="1" applyFont="1" applyBorder="1" applyAlignment="1">
      <alignment shrinkToFit="1"/>
    </xf>
    <xf numFmtId="164" fontId="33" fillId="0" borderId="1" xfId="2" applyNumberFormat="1" applyFont="1" applyBorder="1" applyAlignment="1">
      <alignment shrinkToFit="1"/>
    </xf>
    <xf numFmtId="164" fontId="25" fillId="0" borderId="1" xfId="1" applyFont="1" applyBorder="1" applyAlignment="1">
      <alignment horizontal="right" shrinkToFit="1"/>
    </xf>
    <xf numFmtId="164" fontId="24" fillId="0" borderId="1" xfId="1" applyFont="1" applyBorder="1" applyAlignment="1">
      <alignment horizontal="right" shrinkToFit="1"/>
    </xf>
    <xf numFmtId="164" fontId="26" fillId="0" borderId="1" xfId="1" applyFont="1" applyBorder="1" applyAlignment="1">
      <alignment horizontal="right" shrinkToFit="1"/>
    </xf>
    <xf numFmtId="10" fontId="24" fillId="0" borderId="1" xfId="4" applyNumberFormat="1" applyFont="1" applyBorder="1" applyAlignment="1">
      <alignment horizontal="right" shrinkToFit="1"/>
    </xf>
    <xf numFmtId="164" fontId="27" fillId="0" borderId="1" xfId="1" applyFont="1" applyBorder="1" applyAlignment="1">
      <alignment horizontal="right" shrinkToFit="1"/>
    </xf>
    <xf numFmtId="164" fontId="28" fillId="0" borderId="1" xfId="1" applyFont="1" applyBorder="1" applyAlignment="1">
      <alignment horizontal="right" shrinkToFit="1"/>
    </xf>
    <xf numFmtId="10" fontId="29" fillId="0" borderId="1" xfId="4" applyNumberFormat="1" applyFont="1" applyBorder="1" applyAlignment="1">
      <alignment horizontal="right" shrinkToFit="1"/>
    </xf>
    <xf numFmtId="164" fontId="23" fillId="0" borderId="1" xfId="1" applyFont="1" applyBorder="1" applyAlignment="1">
      <alignment horizontal="right" shrinkToFit="1"/>
    </xf>
    <xf numFmtId="164" fontId="30" fillId="0" borderId="1" xfId="1" applyFont="1" applyBorder="1" applyAlignment="1">
      <alignment horizontal="right" shrinkToFit="1"/>
    </xf>
    <xf numFmtId="10" fontId="30" fillId="0" borderId="1" xfId="4" applyNumberFormat="1" applyFont="1" applyBorder="1" applyAlignment="1">
      <alignment horizontal="right" shrinkToFit="1"/>
    </xf>
    <xf numFmtId="164" fontId="31" fillId="0" borderId="1" xfId="1" applyFont="1" applyBorder="1" applyAlignment="1">
      <alignment horizontal="right" shrinkToFit="1"/>
    </xf>
    <xf numFmtId="164" fontId="29" fillId="0" borderId="1" xfId="1" applyFont="1" applyBorder="1" applyAlignment="1">
      <alignment horizontal="right" shrinkToFit="1"/>
    </xf>
    <xf numFmtId="164" fontId="24" fillId="0" borderId="1" xfId="1" quotePrefix="1" applyFont="1" applyBorder="1" applyAlignment="1">
      <alignment horizontal="center" shrinkToFit="1"/>
    </xf>
    <xf numFmtId="164" fontId="32" fillId="0" borderId="1" xfId="1" applyFont="1" applyBorder="1" applyAlignment="1">
      <alignment horizontal="right" shrinkToFit="1"/>
    </xf>
    <xf numFmtId="164" fontId="22" fillId="0" borderId="1" xfId="1" applyFont="1" applyBorder="1" applyAlignment="1">
      <alignment horizontal="right" shrinkToFit="1"/>
    </xf>
    <xf numFmtId="164" fontId="24" fillId="0" borderId="1" xfId="1" quotePrefix="1" applyFont="1" applyBorder="1" applyAlignment="1">
      <alignment horizontal="right" shrinkToFit="1"/>
    </xf>
    <xf numFmtId="10" fontId="26" fillId="0" borderId="1" xfId="4" applyNumberFormat="1" applyFont="1" applyBorder="1" applyAlignment="1">
      <alignment horizontal="right" shrinkToFit="1"/>
    </xf>
    <xf numFmtId="0" fontId="21" fillId="0" borderId="1" xfId="2" applyFont="1" applyBorder="1" applyAlignment="1">
      <alignment shrinkToFit="1"/>
    </xf>
    <xf numFmtId="164" fontId="34" fillId="0" borderId="1" xfId="2" applyNumberFormat="1" applyFont="1" applyBorder="1" applyAlignment="1">
      <alignment shrinkToFit="1"/>
    </xf>
    <xf numFmtId="164" fontId="21" fillId="0" borderId="1" xfId="1" applyFont="1" applyBorder="1" applyAlignment="1">
      <alignment shrinkToFit="1"/>
    </xf>
    <xf numFmtId="164" fontId="35" fillId="0" borderId="1" xfId="2" applyNumberFormat="1" applyFont="1" applyBorder="1" applyAlignment="1">
      <alignment shrinkToFit="1"/>
    </xf>
    <xf numFmtId="0" fontId="30" fillId="0" borderId="1" xfId="2" applyFont="1" applyBorder="1" applyAlignment="1">
      <alignment horizontal="center" vertical="center" wrapText="1"/>
    </xf>
    <xf numFmtId="0" fontId="30" fillId="0" borderId="1" xfId="2" applyFont="1" applyBorder="1" applyAlignment="1">
      <alignment horizontal="center" vertical="center"/>
    </xf>
    <xf numFmtId="164" fontId="39" fillId="0" borderId="1" xfId="1" applyFont="1" applyBorder="1" applyAlignment="1">
      <alignment horizontal="center" vertical="center" wrapText="1"/>
    </xf>
    <xf numFmtId="10" fontId="39" fillId="0" borderId="1" xfId="4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164" fontId="40" fillId="0" borderId="1" xfId="1" applyFont="1" applyBorder="1" applyAlignment="1">
      <alignment horizontal="right" shrinkToFit="1"/>
    </xf>
    <xf numFmtId="164" fontId="40" fillId="0" borderId="1" xfId="1" applyFont="1" applyBorder="1" applyAlignment="1">
      <alignment horizontal="center" shrinkToFit="1"/>
    </xf>
    <xf numFmtId="164" fontId="40" fillId="0" borderId="1" xfId="1" quotePrefix="1" applyFont="1" applyBorder="1" applyAlignment="1">
      <alignment horizontal="right" shrinkToFit="1"/>
    </xf>
    <xf numFmtId="164" fontId="36" fillId="0" borderId="1" xfId="1" applyFont="1" applyBorder="1" applyAlignment="1">
      <alignment horizontal="right" shrinkToFit="1"/>
    </xf>
    <xf numFmtId="164" fontId="43" fillId="0" borderId="0" xfId="1" applyFont="1" applyAlignment="1">
      <alignment horizontal="right" shrinkToFit="1"/>
    </xf>
    <xf numFmtId="164" fontId="40" fillId="0" borderId="0" xfId="2" applyNumberFormat="1" applyFont="1" applyAlignment="1">
      <alignment shrinkToFit="1"/>
    </xf>
    <xf numFmtId="164" fontId="43" fillId="0" borderId="0" xfId="2" applyNumberFormat="1" applyFont="1" applyAlignment="1">
      <alignment shrinkToFit="1"/>
    </xf>
    <xf numFmtId="164" fontId="43" fillId="0" borderId="5" xfId="2" applyNumberFormat="1" applyFont="1" applyBorder="1" applyAlignment="1">
      <alignment shrinkToFit="1"/>
    </xf>
    <xf numFmtId="0" fontId="69" fillId="0" borderId="0" xfId="2" applyFont="1"/>
    <xf numFmtId="0" fontId="14" fillId="0" borderId="7" xfId="2" applyFont="1" applyBorder="1" applyAlignment="1">
      <alignment horizontal="center" wrapText="1"/>
    </xf>
    <xf numFmtId="0" fontId="14" fillId="0" borderId="8" xfId="2" applyFont="1" applyBorder="1" applyAlignment="1">
      <alignment horizontal="center"/>
    </xf>
    <xf numFmtId="0" fontId="14" fillId="0" borderId="9" xfId="2" applyFont="1" applyBorder="1" applyAlignment="1">
      <alignment horizontal="center"/>
    </xf>
    <xf numFmtId="0" fontId="45" fillId="0" borderId="10" xfId="2" applyFont="1" applyBorder="1" applyAlignment="1">
      <alignment horizontal="left" vertical="top" indent="2"/>
    </xf>
    <xf numFmtId="0" fontId="70" fillId="0" borderId="10" xfId="2" applyFont="1" applyBorder="1" applyAlignment="1">
      <alignment vertical="top" shrinkToFit="1"/>
    </xf>
    <xf numFmtId="164" fontId="71" fillId="0" borderId="12" xfId="1" applyFont="1" applyBorder="1" applyAlignment="1">
      <alignment horizontal="right" vertical="center"/>
    </xf>
    <xf numFmtId="164" fontId="14" fillId="0" borderId="10" xfId="1" applyFont="1" applyBorder="1" applyAlignment="1">
      <alignment vertical="center"/>
    </xf>
    <xf numFmtId="164" fontId="71" fillId="0" borderId="13" xfId="1" applyFont="1" applyBorder="1" applyAlignment="1">
      <alignment horizontal="right" vertical="center"/>
    </xf>
    <xf numFmtId="0" fontId="71" fillId="0" borderId="14" xfId="2" applyFont="1" applyBorder="1" applyAlignment="1">
      <alignment vertical="top" shrinkToFit="1"/>
    </xf>
    <xf numFmtId="0" fontId="70" fillId="0" borderId="10" xfId="2" applyFont="1" applyBorder="1" applyAlignment="1">
      <alignment vertical="top"/>
    </xf>
    <xf numFmtId="164" fontId="71" fillId="0" borderId="15" xfId="1" applyFont="1" applyBorder="1" applyAlignment="1">
      <alignment horizontal="right" vertical="center"/>
    </xf>
    <xf numFmtId="164" fontId="69" fillId="0" borderId="0" xfId="2" applyNumberFormat="1" applyFont="1"/>
    <xf numFmtId="164" fontId="71" fillId="0" borderId="10" xfId="1" applyFont="1" applyBorder="1" applyAlignment="1">
      <alignment horizontal="right" vertical="top"/>
    </xf>
    <xf numFmtId="164" fontId="14" fillId="0" borderId="10" xfId="1" applyFont="1" applyBorder="1"/>
    <xf numFmtId="164" fontId="45" fillId="0" borderId="10" xfId="1" applyFont="1" applyBorder="1" applyAlignment="1">
      <alignment horizontal="right"/>
    </xf>
    <xf numFmtId="164" fontId="11" fillId="0" borderId="10" xfId="1" applyFont="1" applyBorder="1" applyAlignment="1">
      <alignment shrinkToFit="1"/>
    </xf>
    <xf numFmtId="0" fontId="14" fillId="0" borderId="0" xfId="2" applyFont="1"/>
    <xf numFmtId="164" fontId="14" fillId="0" borderId="0" xfId="2" applyNumberFormat="1" applyFont="1"/>
    <xf numFmtId="0" fontId="17" fillId="0" borderId="0" xfId="2" applyFont="1"/>
    <xf numFmtId="17" fontId="47" fillId="0" borderId="10" xfId="2" applyNumberFormat="1" applyFont="1" applyBorder="1" applyAlignment="1">
      <alignment vertical="top"/>
    </xf>
    <xf numFmtId="43" fontId="55" fillId="0" borderId="10" xfId="2" applyNumberFormat="1" applyFont="1" applyBorder="1"/>
    <xf numFmtId="0" fontId="47" fillId="0" borderId="17" xfId="2" applyFont="1" applyBorder="1" applyAlignment="1">
      <alignment horizontal="left" vertical="top" indent="2"/>
    </xf>
    <xf numFmtId="0" fontId="14" fillId="0" borderId="17" xfId="2" applyFont="1" applyBorder="1" applyAlignment="1">
      <alignment horizontal="center"/>
    </xf>
    <xf numFmtId="164" fontId="14" fillId="0" borderId="17" xfId="1" applyFont="1" applyBorder="1" applyAlignment="1">
      <alignment horizontal="center"/>
    </xf>
    <xf numFmtId="0" fontId="55" fillId="0" borderId="17" xfId="2" applyFont="1" applyBorder="1"/>
    <xf numFmtId="43" fontId="55" fillId="0" borderId="17" xfId="2" applyNumberFormat="1" applyFont="1" applyBorder="1"/>
    <xf numFmtId="0" fontId="55" fillId="0" borderId="17" xfId="2" applyFont="1" applyBorder="1" applyAlignment="1">
      <alignment horizontal="center"/>
    </xf>
    <xf numFmtId="0" fontId="13" fillId="0" borderId="17" xfId="2" applyFont="1" applyBorder="1"/>
    <xf numFmtId="17" fontId="48" fillId="0" borderId="22" xfId="2" applyNumberFormat="1" applyFont="1" applyBorder="1" applyAlignment="1">
      <alignment vertical="top"/>
    </xf>
    <xf numFmtId="43" fontId="14" fillId="0" borderId="22" xfId="2" applyNumberFormat="1" applyFont="1" applyBorder="1" applyAlignment="1">
      <alignment horizontal="center"/>
    </xf>
    <xf numFmtId="17" fontId="48" fillId="0" borderId="17" xfId="2" applyNumberFormat="1" applyFont="1" applyBorder="1" applyAlignment="1">
      <alignment vertical="top" shrinkToFit="1"/>
    </xf>
    <xf numFmtId="0" fontId="10" fillId="0" borderId="17" xfId="2" applyBorder="1"/>
    <xf numFmtId="17" fontId="48" fillId="0" borderId="17" xfId="2" applyNumberFormat="1" applyFont="1" applyBorder="1" applyAlignment="1">
      <alignment vertical="top"/>
    </xf>
    <xf numFmtId="17" fontId="47" fillId="0" borderId="17" xfId="2" applyNumberFormat="1" applyFont="1" applyBorder="1" applyAlignment="1">
      <alignment vertical="top"/>
    </xf>
    <xf numFmtId="43" fontId="55" fillId="2" borderId="0" xfId="2" applyNumberFormat="1" applyFont="1" applyFill="1"/>
    <xf numFmtId="43" fontId="55" fillId="2" borderId="17" xfId="2" applyNumberFormat="1" applyFont="1" applyFill="1" applyBorder="1"/>
    <xf numFmtId="0" fontId="54" fillId="0" borderId="10" xfId="2" applyFont="1" applyBorder="1" applyAlignment="1">
      <alignment horizontal="center" vertical="top"/>
    </xf>
    <xf numFmtId="0" fontId="16" fillId="0" borderId="10" xfId="2" applyFont="1" applyBorder="1" applyAlignment="1">
      <alignment horizontal="center"/>
    </xf>
    <xf numFmtId="0" fontId="54" fillId="0" borderId="10" xfId="2" applyFont="1" applyBorder="1" applyAlignment="1">
      <alignment horizontal="center" wrapText="1"/>
    </xf>
    <xf numFmtId="0" fontId="54" fillId="0" borderId="10" xfId="2" applyFont="1" applyBorder="1" applyAlignment="1">
      <alignment vertical="top"/>
    </xf>
    <xf numFmtId="0" fontId="16" fillId="0" borderId="10" xfId="2" applyFont="1" applyBorder="1" applyAlignment="1">
      <alignment horizontal="center" vertical="top"/>
    </xf>
    <xf numFmtId="0" fontId="16" fillId="0" borderId="10" xfId="2" applyFont="1" applyBorder="1"/>
    <xf numFmtId="0" fontId="53" fillId="0" borderId="10" xfId="2" applyFont="1" applyBorder="1" applyAlignment="1">
      <alignment vertical="top"/>
    </xf>
    <xf numFmtId="0" fontId="53" fillId="0" borderId="10" xfId="2" applyFont="1" applyBorder="1" applyAlignment="1">
      <alignment horizontal="right" vertical="top"/>
    </xf>
    <xf numFmtId="2" fontId="54" fillId="0" borderId="10" xfId="2" applyNumberFormat="1" applyFont="1" applyBorder="1" applyAlignment="1">
      <alignment horizontal="right" vertical="top"/>
    </xf>
    <xf numFmtId="2" fontId="16" fillId="0" borderId="10" xfId="2" applyNumberFormat="1" applyFont="1" applyBorder="1"/>
    <xf numFmtId="0" fontId="16" fillId="0" borderId="10" xfId="2" applyFont="1" applyBorder="1" applyAlignment="1">
      <alignment vertical="top"/>
    </xf>
    <xf numFmtId="168" fontId="53" fillId="0" borderId="10" xfId="2" applyNumberFormat="1" applyFont="1" applyBorder="1" applyAlignment="1">
      <alignment horizontal="right" vertical="top"/>
    </xf>
    <xf numFmtId="169" fontId="16" fillId="0" borderId="10" xfId="2" applyNumberFormat="1" applyFont="1" applyBorder="1" applyAlignment="1">
      <alignment horizontal="right" vertical="top"/>
    </xf>
    <xf numFmtId="0" fontId="72" fillId="0" borderId="10" xfId="2" applyFont="1" applyBorder="1" applyAlignment="1">
      <alignment horizontal="right" vertical="top"/>
    </xf>
    <xf numFmtId="168" fontId="72" fillId="0" borderId="10" xfId="2" applyNumberFormat="1" applyFont="1" applyBorder="1" applyAlignment="1">
      <alignment horizontal="right" vertical="top"/>
    </xf>
    <xf numFmtId="169" fontId="54" fillId="0" borderId="10" xfId="2" applyNumberFormat="1" applyFont="1" applyBorder="1" applyAlignment="1">
      <alignment horizontal="right" vertical="top"/>
    </xf>
    <xf numFmtId="2" fontId="54" fillId="0" borderId="10" xfId="2" applyNumberFormat="1" applyFont="1" applyBorder="1"/>
    <xf numFmtId="169" fontId="13" fillId="0" borderId="0" xfId="2" applyNumberFormat="1" applyFont="1"/>
    <xf numFmtId="164" fontId="58" fillId="0" borderId="0" xfId="1" applyFont="1"/>
    <xf numFmtId="0" fontId="18" fillId="0" borderId="0" xfId="0" applyFont="1"/>
    <xf numFmtId="164" fontId="16" fillId="0" borderId="0" xfId="1" applyFont="1"/>
    <xf numFmtId="0" fontId="73" fillId="0" borderId="0" xfId="2" applyFont="1"/>
    <xf numFmtId="164" fontId="16" fillId="0" borderId="1" xfId="1" applyFont="1" applyBorder="1" applyAlignment="1">
      <alignment horizontal="center" vertical="center" wrapText="1"/>
    </xf>
    <xf numFmtId="164" fontId="16" fillId="0" borderId="1" xfId="1" applyFont="1" applyBorder="1" applyAlignment="1">
      <alignment horizontal="center" vertical="center"/>
    </xf>
    <xf numFmtId="164" fontId="16" fillId="0" borderId="1" xfId="1" applyFont="1" applyBorder="1" applyAlignment="1">
      <alignment horizontal="center" wrapText="1"/>
    </xf>
    <xf numFmtId="0" fontId="16" fillId="0" borderId="1" xfId="1" applyNumberFormat="1" applyFont="1" applyBorder="1" applyAlignment="1">
      <alignment horizontal="center"/>
    </xf>
    <xf numFmtId="164" fontId="16" fillId="0" borderId="1" xfId="1" applyFont="1" applyBorder="1"/>
    <xf numFmtId="164" fontId="16" fillId="0" borderId="1" xfId="1" applyFont="1" applyBorder="1" applyAlignment="1">
      <alignment shrinkToFit="1"/>
    </xf>
    <xf numFmtId="164" fontId="16" fillId="0" borderId="1" xfId="2" applyNumberFormat="1" applyFont="1" applyBorder="1" applyAlignment="1">
      <alignment shrinkToFit="1"/>
    </xf>
    <xf numFmtId="164" fontId="16" fillId="0" borderId="1" xfId="2" applyNumberFormat="1" applyFont="1" applyBorder="1"/>
    <xf numFmtId="164" fontId="54" fillId="0" borderId="1" xfId="1" applyFont="1" applyBorder="1"/>
    <xf numFmtId="164" fontId="54" fillId="0" borderId="1" xfId="1" applyFont="1" applyBorder="1" applyAlignment="1">
      <alignment shrinkToFit="1"/>
    </xf>
    <xf numFmtId="2" fontId="60" fillId="0" borderId="17" xfId="0" applyNumberFormat="1" applyFont="1" applyBorder="1"/>
    <xf numFmtId="2" fontId="59" fillId="0" borderId="17" xfId="0" applyNumberFormat="1" applyFont="1" applyBorder="1"/>
    <xf numFmtId="0" fontId="60" fillId="0" borderId="17" xfId="0" applyFont="1" applyBorder="1"/>
    <xf numFmtId="0" fontId="75" fillId="0" borderId="0" xfId="0" applyFont="1" applyAlignment="1">
      <alignment horizontal="center" vertical="top"/>
    </xf>
    <xf numFmtId="0" fontId="75" fillId="0" borderId="0" xfId="0" applyFont="1" applyAlignment="1">
      <alignment horizontal="left" vertical="top" wrapText="1"/>
    </xf>
    <xf numFmtId="0" fontId="75" fillId="0" borderId="0" xfId="0" applyFont="1" applyAlignment="1">
      <alignment vertical="top"/>
    </xf>
    <xf numFmtId="0" fontId="75" fillId="0" borderId="23" xfId="0" applyFont="1" applyBorder="1" applyAlignment="1">
      <alignment horizontal="center" vertical="center" wrapText="1"/>
    </xf>
    <xf numFmtId="0" fontId="75" fillId="0" borderId="25" xfId="0" applyFont="1" applyBorder="1" applyAlignment="1">
      <alignment horizontal="center" vertical="center"/>
    </xf>
    <xf numFmtId="0" fontId="75" fillId="0" borderId="16" xfId="0" applyFont="1" applyBorder="1" applyAlignment="1">
      <alignment horizontal="center" vertical="top"/>
    </xf>
    <xf numFmtId="0" fontId="76" fillId="0" borderId="16" xfId="0" applyFont="1" applyBorder="1" applyAlignment="1">
      <alignment horizontal="left" vertical="top" wrapText="1"/>
    </xf>
    <xf numFmtId="0" fontId="75" fillId="0" borderId="16" xfId="0" applyFont="1" applyBorder="1" applyAlignment="1">
      <alignment vertical="top"/>
    </xf>
    <xf numFmtId="0" fontId="75" fillId="0" borderId="16" xfId="0" applyFont="1" applyBorder="1" applyAlignment="1">
      <alignment horizontal="left" vertical="center" wrapText="1"/>
    </xf>
    <xf numFmtId="0" fontId="75" fillId="0" borderId="16" xfId="0" applyFont="1" applyBorder="1" applyAlignment="1">
      <alignment horizontal="center" vertical="center"/>
    </xf>
    <xf numFmtId="1" fontId="75" fillId="0" borderId="16" xfId="0" applyNumberFormat="1" applyFont="1" applyBorder="1" applyAlignment="1">
      <alignment horizontal="center" vertical="center"/>
    </xf>
    <xf numFmtId="166" fontId="75" fillId="0" borderId="16" xfId="0" applyNumberFormat="1" applyFont="1" applyBorder="1" applyAlignment="1">
      <alignment horizontal="center" vertical="center"/>
    </xf>
    <xf numFmtId="0" fontId="77" fillId="0" borderId="16" xfId="0" applyFont="1" applyBorder="1" applyAlignment="1">
      <alignment horizontal="center" vertical="top"/>
    </xf>
    <xf numFmtId="1" fontId="77" fillId="0" borderId="16" xfId="0" applyNumberFormat="1" applyFont="1" applyBorder="1" applyAlignment="1">
      <alignment horizontal="center" vertical="center"/>
    </xf>
    <xf numFmtId="0" fontId="6" fillId="0" borderId="0" xfId="0" applyFont="1"/>
    <xf numFmtId="0" fontId="76" fillId="0" borderId="16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77" fillId="0" borderId="16" xfId="0" applyFont="1" applyBorder="1" applyAlignment="1">
      <alignment horizontal="left" vertical="center" wrapText="1"/>
    </xf>
    <xf numFmtId="166" fontId="77" fillId="0" borderId="16" xfId="0" applyNumberFormat="1" applyFont="1" applyBorder="1" applyAlignment="1">
      <alignment horizontal="center" vertical="center"/>
    </xf>
    <xf numFmtId="0" fontId="78" fillId="0" borderId="16" xfId="0" applyFont="1" applyBorder="1" applyAlignment="1">
      <alignment horizontal="center" vertical="top"/>
    </xf>
    <xf numFmtId="0" fontId="79" fillId="0" borderId="16" xfId="0" applyFont="1" applyBorder="1" applyAlignment="1">
      <alignment horizontal="left" vertical="center" wrapText="1"/>
    </xf>
    <xf numFmtId="0" fontId="78" fillId="0" borderId="16" xfId="0" applyFont="1" applyBorder="1" applyAlignment="1">
      <alignment horizontal="center" vertical="center"/>
    </xf>
    <xf numFmtId="2" fontId="78" fillId="0" borderId="16" xfId="0" applyNumberFormat="1" applyFont="1" applyBorder="1" applyAlignment="1">
      <alignment horizontal="center" vertical="center"/>
    </xf>
    <xf numFmtId="0" fontId="78" fillId="0" borderId="16" xfId="0" applyFont="1" applyBorder="1" applyAlignment="1">
      <alignment horizontal="left" vertical="center" wrapText="1"/>
    </xf>
    <xf numFmtId="170" fontId="78" fillId="0" borderId="16" xfId="0" applyNumberFormat="1" applyFont="1" applyBorder="1" applyAlignment="1">
      <alignment horizontal="center" vertical="center"/>
    </xf>
    <xf numFmtId="1" fontId="78" fillId="0" borderId="16" xfId="0" applyNumberFormat="1" applyFont="1" applyBorder="1" applyAlignment="1">
      <alignment horizontal="center" vertical="center"/>
    </xf>
    <xf numFmtId="0" fontId="80" fillId="0" borderId="16" xfId="0" applyFont="1" applyBorder="1" applyAlignment="1">
      <alignment horizontal="left" vertical="center" wrapText="1"/>
    </xf>
    <xf numFmtId="0" fontId="80" fillId="0" borderId="16" xfId="0" applyFont="1" applyBorder="1" applyAlignment="1">
      <alignment horizontal="center" vertical="center"/>
    </xf>
    <xf numFmtId="2" fontId="80" fillId="0" borderId="16" xfId="0" applyNumberFormat="1" applyFont="1" applyBorder="1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77" fillId="0" borderId="16" xfId="0" applyFont="1" applyBorder="1" applyAlignment="1">
      <alignment horizontal="center" vertical="center"/>
    </xf>
    <xf numFmtId="170" fontId="77" fillId="0" borderId="1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49" fontId="84" fillId="0" borderId="26" xfId="0" applyNumberFormat="1" applyFont="1" applyBorder="1" applyAlignment="1">
      <alignment horizontal="left" vertical="top" indent="2"/>
    </xf>
    <xf numFmtId="49" fontId="84" fillId="0" borderId="26" xfId="0" applyNumberFormat="1" applyFont="1" applyBorder="1" applyAlignment="1">
      <alignment horizontal="center" vertical="top"/>
    </xf>
    <xf numFmtId="49" fontId="86" fillId="0" borderId="26" xfId="0" applyNumberFormat="1" applyFont="1" applyBorder="1" applyAlignment="1">
      <alignment horizontal="center" vertical="top"/>
    </xf>
    <xf numFmtId="49" fontId="86" fillId="0" borderId="26" xfId="0" applyNumberFormat="1" applyFont="1" applyBorder="1" applyAlignment="1">
      <alignment vertical="top"/>
    </xf>
    <xf numFmtId="43" fontId="86" fillId="0" borderId="26" xfId="5" applyFont="1" applyBorder="1" applyAlignment="1">
      <alignment horizontal="right" vertical="top"/>
    </xf>
    <xf numFmtId="43" fontId="85" fillId="0" borderId="26" xfId="5" applyFont="1" applyBorder="1" applyAlignment="1">
      <alignment horizontal="right" vertical="top"/>
    </xf>
    <xf numFmtId="43" fontId="0" fillId="0" borderId="0" xfId="0" applyNumberFormat="1"/>
    <xf numFmtId="43" fontId="84" fillId="0" borderId="26" xfId="5" applyFont="1" applyBorder="1" applyAlignment="1">
      <alignment horizontal="right" vertical="top"/>
    </xf>
    <xf numFmtId="43" fontId="87" fillId="0" borderId="26" xfId="5" applyFont="1" applyBorder="1" applyAlignment="1">
      <alignment horizontal="right" vertical="top"/>
    </xf>
    <xf numFmtId="43" fontId="86" fillId="0" borderId="24" xfId="5" applyFont="1" applyFill="1" applyBorder="1" applyAlignment="1">
      <alignment horizontal="right" vertical="top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56" fillId="0" borderId="2" xfId="0" applyFont="1" applyBorder="1" applyAlignment="1">
      <alignment horizontal="center"/>
    </xf>
    <xf numFmtId="0" fontId="56" fillId="0" borderId="3" xfId="0" applyFont="1" applyBorder="1" applyAlignment="1">
      <alignment horizontal="center"/>
    </xf>
    <xf numFmtId="0" fontId="56" fillId="0" borderId="1" xfId="0" applyFont="1" applyFill="1" applyBorder="1" applyAlignment="1">
      <alignment horizontal="center"/>
    </xf>
    <xf numFmtId="0" fontId="56" fillId="0" borderId="0" xfId="0" applyFont="1" applyAlignment="1">
      <alignment horizontal="center" vertical="top"/>
    </xf>
    <xf numFmtId="0" fontId="56" fillId="0" borderId="4" xfId="0" applyFont="1" applyBorder="1" applyAlignment="1">
      <alignment horizontal="center" vertical="top"/>
    </xf>
    <xf numFmtId="0" fontId="56" fillId="0" borderId="0" xfId="0" applyFont="1" applyBorder="1" applyAlignment="1">
      <alignment horizontal="center" vertical="top"/>
    </xf>
    <xf numFmtId="0" fontId="57" fillId="0" borderId="1" xfId="0" applyFont="1" applyBorder="1" applyAlignment="1">
      <alignment horizontal="center" vertical="center"/>
    </xf>
    <xf numFmtId="0" fontId="5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64" fontId="11" fillId="0" borderId="0" xfId="1" applyFont="1" applyAlignment="1">
      <alignment horizontal="center"/>
    </xf>
    <xf numFmtId="164" fontId="11" fillId="0" borderId="18" xfId="1" applyFont="1" applyBorder="1" applyAlignment="1">
      <alignment horizontal="center"/>
    </xf>
    <xf numFmtId="0" fontId="68" fillId="0" borderId="4" xfId="2" applyFont="1" applyBorder="1" applyAlignment="1">
      <alignment horizontal="center"/>
    </xf>
    <xf numFmtId="0" fontId="68" fillId="0" borderId="0" xfId="2" applyFont="1" applyAlignment="1">
      <alignment horizontal="center"/>
    </xf>
    <xf numFmtId="0" fontId="33" fillId="0" borderId="19" xfId="2" applyFont="1" applyBorder="1" applyAlignment="1">
      <alignment horizontal="center" wrapText="1"/>
    </xf>
    <xf numFmtId="0" fontId="33" fillId="0" borderId="21" xfId="2" applyFont="1" applyBorder="1" applyAlignment="1">
      <alignment horizontal="center" wrapText="1"/>
    </xf>
    <xf numFmtId="0" fontId="33" fillId="0" borderId="20" xfId="2" applyFont="1" applyBorder="1" applyAlignment="1">
      <alignment horizontal="center" wrapText="1"/>
    </xf>
    <xf numFmtId="0" fontId="20" fillId="0" borderId="4" xfId="2" applyFont="1" applyBorder="1" applyAlignment="1">
      <alignment horizontal="center" vertical="center" wrapText="1"/>
    </xf>
    <xf numFmtId="0" fontId="30" fillId="0" borderId="19" xfId="2" applyFont="1" applyBorder="1" applyAlignment="1">
      <alignment horizontal="center" wrapText="1"/>
    </xf>
    <xf numFmtId="0" fontId="30" fillId="0" borderId="21" xfId="2" applyFont="1" applyBorder="1" applyAlignment="1">
      <alignment horizontal="center" wrapText="1"/>
    </xf>
    <xf numFmtId="0" fontId="30" fillId="0" borderId="20" xfId="2" applyFont="1" applyBorder="1" applyAlignment="1">
      <alignment horizontal="center" wrapText="1"/>
    </xf>
    <xf numFmtId="0" fontId="36" fillId="0" borderId="0" xfId="2" applyFont="1" applyAlignment="1">
      <alignment horizontal="center"/>
    </xf>
    <xf numFmtId="0" fontId="38" fillId="0" borderId="4" xfId="2" applyFont="1" applyBorder="1" applyAlignment="1">
      <alignment horizontal="center"/>
    </xf>
    <xf numFmtId="164" fontId="37" fillId="0" borderId="2" xfId="1" applyFont="1" applyBorder="1" applyAlignment="1">
      <alignment horizontal="center" wrapText="1"/>
    </xf>
    <xf numFmtId="164" fontId="37" fillId="0" borderId="3" xfId="1" applyFont="1" applyBorder="1" applyAlignment="1">
      <alignment horizontal="center" wrapText="1"/>
    </xf>
    <xf numFmtId="0" fontId="39" fillId="0" borderId="0" xfId="2" applyFont="1" applyAlignment="1">
      <alignment horizontal="center"/>
    </xf>
    <xf numFmtId="0" fontId="45" fillId="0" borderId="0" xfId="2" applyFont="1" applyAlignment="1">
      <alignment horizontal="center" vertical="top" wrapText="1"/>
    </xf>
    <xf numFmtId="0" fontId="46" fillId="0" borderId="6" xfId="2" applyFont="1" applyBorder="1" applyAlignment="1">
      <alignment horizontal="center" vertical="top" wrapText="1"/>
    </xf>
    <xf numFmtId="0" fontId="47" fillId="0" borderId="7" xfId="2" applyFont="1" applyBorder="1" applyAlignment="1">
      <alignment horizontal="center" vertical="center"/>
    </xf>
    <xf numFmtId="0" fontId="47" fillId="0" borderId="8" xfId="2" applyFont="1" applyBorder="1" applyAlignment="1">
      <alignment horizontal="center" vertical="center"/>
    </xf>
    <xf numFmtId="0" fontId="47" fillId="0" borderId="9" xfId="2" applyFont="1" applyBorder="1" applyAlignment="1">
      <alignment horizontal="center" vertical="center"/>
    </xf>
    <xf numFmtId="0" fontId="48" fillId="0" borderId="7" xfId="2" applyFont="1" applyBorder="1" applyAlignment="1">
      <alignment horizontal="center" vertical="top" wrapText="1"/>
    </xf>
    <xf numFmtId="0" fontId="48" fillId="0" borderId="8" xfId="2" applyFont="1" applyBorder="1" applyAlignment="1">
      <alignment horizontal="center" vertical="top" wrapText="1"/>
    </xf>
    <xf numFmtId="0" fontId="48" fillId="0" borderId="9" xfId="2" applyFont="1" applyBorder="1" applyAlignment="1">
      <alignment horizontal="center" vertical="top" wrapText="1"/>
    </xf>
    <xf numFmtId="0" fontId="16" fillId="0" borderId="7" xfId="2" applyFont="1" applyBorder="1" applyAlignment="1">
      <alignment horizontal="center" wrapText="1"/>
    </xf>
    <xf numFmtId="0" fontId="16" fillId="0" borderId="8" xfId="2" applyFont="1" applyBorder="1" applyAlignment="1">
      <alignment horizontal="center" wrapText="1"/>
    </xf>
    <xf numFmtId="0" fontId="16" fillId="0" borderId="9" xfId="2" applyFont="1" applyBorder="1" applyAlignment="1">
      <alignment horizontal="center" wrapText="1"/>
    </xf>
    <xf numFmtId="0" fontId="45" fillId="0" borderId="7" xfId="2" applyFont="1" applyBorder="1" applyAlignment="1">
      <alignment horizontal="center" vertical="top"/>
    </xf>
    <xf numFmtId="0" fontId="45" fillId="0" borderId="8" xfId="2" applyFont="1" applyBorder="1" applyAlignment="1">
      <alignment horizontal="center" vertical="top"/>
    </xf>
    <xf numFmtId="0" fontId="45" fillId="0" borderId="9" xfId="2" applyFont="1" applyBorder="1" applyAlignment="1">
      <alignment horizontal="center" vertical="top"/>
    </xf>
    <xf numFmtId="0" fontId="70" fillId="0" borderId="7" xfId="2" applyFont="1" applyBorder="1" applyAlignment="1">
      <alignment horizontal="center" vertical="top" wrapText="1"/>
    </xf>
    <xf numFmtId="0" fontId="70" fillId="0" borderId="8" xfId="2" applyFont="1" applyBorder="1" applyAlignment="1">
      <alignment horizontal="center" vertical="top" wrapText="1"/>
    </xf>
    <xf numFmtId="0" fontId="70" fillId="0" borderId="9" xfId="2" applyFont="1" applyBorder="1" applyAlignment="1">
      <alignment horizontal="center" vertical="top" wrapText="1"/>
    </xf>
    <xf numFmtId="0" fontId="14" fillId="0" borderId="7" xfId="2" applyFont="1" applyBorder="1" applyAlignment="1">
      <alignment horizontal="center" wrapText="1"/>
    </xf>
    <xf numFmtId="0" fontId="14" fillId="0" borderId="8" xfId="2" applyFont="1" applyBorder="1" applyAlignment="1">
      <alignment horizontal="center"/>
    </xf>
    <xf numFmtId="0" fontId="14" fillId="0" borderId="9" xfId="2" applyFont="1" applyBorder="1" applyAlignment="1">
      <alignment horizontal="center"/>
    </xf>
    <xf numFmtId="0" fontId="47" fillId="0" borderId="7" xfId="2" applyFont="1" applyBorder="1" applyAlignment="1">
      <alignment horizontal="center" vertical="top"/>
    </xf>
    <xf numFmtId="0" fontId="47" fillId="0" borderId="8" xfId="2" applyFont="1" applyBorder="1" applyAlignment="1">
      <alignment horizontal="center" vertical="top"/>
    </xf>
    <xf numFmtId="0" fontId="47" fillId="0" borderId="9" xfId="2" applyFont="1" applyBorder="1" applyAlignment="1">
      <alignment horizontal="center" vertical="top"/>
    </xf>
    <xf numFmtId="0" fontId="16" fillId="0" borderId="8" xfId="2" applyFont="1" applyBorder="1" applyAlignment="1">
      <alignment horizontal="center"/>
    </xf>
    <xf numFmtId="0" fontId="16" fillId="0" borderId="9" xfId="2" applyFont="1" applyBorder="1" applyAlignment="1">
      <alignment horizontal="center"/>
    </xf>
    <xf numFmtId="0" fontId="54" fillId="0" borderId="7" xfId="2" applyFont="1" applyBorder="1" applyAlignment="1">
      <alignment horizontal="center" vertical="center"/>
    </xf>
    <xf numFmtId="0" fontId="54" fillId="0" borderId="8" xfId="2" applyFont="1" applyBorder="1" applyAlignment="1">
      <alignment horizontal="center" vertical="center"/>
    </xf>
    <xf numFmtId="0" fontId="54" fillId="0" borderId="9" xfId="2" applyFont="1" applyBorder="1" applyAlignment="1">
      <alignment horizontal="center" vertical="center"/>
    </xf>
    <xf numFmtId="0" fontId="53" fillId="0" borderId="10" xfId="2" applyFont="1" applyBorder="1" applyAlignment="1">
      <alignment horizontal="center" vertical="top" wrapText="1"/>
    </xf>
    <xf numFmtId="0" fontId="54" fillId="0" borderId="10" xfId="2" applyFont="1" applyBorder="1" applyAlignment="1">
      <alignment horizontal="center" vertical="top" wrapText="1"/>
    </xf>
    <xf numFmtId="0" fontId="16" fillId="0" borderId="10" xfId="2" applyFont="1" applyBorder="1" applyAlignment="1">
      <alignment horizontal="center" vertical="top" wrapText="1"/>
    </xf>
    <xf numFmtId="0" fontId="54" fillId="0" borderId="10" xfId="2" applyFont="1" applyBorder="1" applyAlignment="1">
      <alignment horizontal="center" vertical="top"/>
    </xf>
    <xf numFmtId="164" fontId="54" fillId="0" borderId="0" xfId="1" applyFont="1" applyAlignment="1">
      <alignment horizontal="center"/>
    </xf>
    <xf numFmtId="0" fontId="75" fillId="0" borderId="16" xfId="0" applyFont="1" applyBorder="1" applyAlignment="1">
      <alignment horizontal="center" vertical="top"/>
    </xf>
    <xf numFmtId="0" fontId="77" fillId="0" borderId="19" xfId="0" applyFont="1" applyBorder="1" applyAlignment="1">
      <alignment horizontal="center" vertical="center" wrapText="1"/>
    </xf>
    <xf numFmtId="0" fontId="77" fillId="0" borderId="21" xfId="0" applyFont="1" applyBorder="1" applyAlignment="1">
      <alignment horizontal="center" vertical="center" wrapText="1"/>
    </xf>
    <xf numFmtId="0" fontId="77" fillId="0" borderId="20" xfId="0" applyFont="1" applyBorder="1" applyAlignment="1">
      <alignment horizontal="center" vertical="center" wrapText="1"/>
    </xf>
    <xf numFmtId="0" fontId="77" fillId="0" borderId="19" xfId="0" applyFont="1" applyBorder="1" applyAlignment="1">
      <alignment horizontal="center" vertical="center"/>
    </xf>
    <xf numFmtId="0" fontId="77" fillId="0" borderId="21" xfId="0" applyFont="1" applyBorder="1" applyAlignment="1">
      <alignment horizontal="center" vertical="center"/>
    </xf>
    <xf numFmtId="0" fontId="77" fillId="0" borderId="20" xfId="0" applyFont="1" applyBorder="1" applyAlignment="1">
      <alignment horizontal="center" vertical="center"/>
    </xf>
    <xf numFmtId="0" fontId="74" fillId="0" borderId="0" xfId="0" applyFont="1" applyAlignment="1">
      <alignment horizontal="center" vertical="top"/>
    </xf>
    <xf numFmtId="0" fontId="81" fillId="0" borderId="0" xfId="0" applyFont="1" applyAlignment="1">
      <alignment horizontal="center" vertical="top"/>
    </xf>
    <xf numFmtId="0" fontId="75" fillId="0" borderId="23" xfId="0" applyFont="1" applyBorder="1" applyAlignment="1">
      <alignment horizontal="center" vertical="top" wrapText="1"/>
    </xf>
    <xf numFmtId="0" fontId="75" fillId="0" borderId="24" xfId="0" applyFont="1" applyBorder="1" applyAlignment="1">
      <alignment horizontal="center" vertical="top" wrapText="1"/>
    </xf>
    <xf numFmtId="0" fontId="75" fillId="0" borderId="25" xfId="0" applyFont="1" applyBorder="1" applyAlignment="1">
      <alignment horizontal="center" vertical="top" wrapText="1"/>
    </xf>
    <xf numFmtId="0" fontId="75" fillId="0" borderId="23" xfId="0" applyFont="1" applyBorder="1" applyAlignment="1">
      <alignment horizontal="left" vertical="top" wrapText="1"/>
    </xf>
    <xf numFmtId="0" fontId="75" fillId="0" borderId="24" xfId="0" applyFont="1" applyBorder="1" applyAlignment="1">
      <alignment horizontal="left" vertical="top" wrapText="1"/>
    </xf>
    <xf numFmtId="0" fontId="75" fillId="0" borderId="25" xfId="0" applyFont="1" applyBorder="1" applyAlignment="1">
      <alignment horizontal="left" vertical="top" wrapText="1"/>
    </xf>
    <xf numFmtId="0" fontId="75" fillId="0" borderId="19" xfId="0" applyFont="1" applyBorder="1" applyAlignment="1">
      <alignment horizontal="center" vertical="top"/>
    </xf>
    <xf numFmtId="0" fontId="75" fillId="0" borderId="21" xfId="0" applyFont="1" applyBorder="1" applyAlignment="1">
      <alignment horizontal="center" vertical="top"/>
    </xf>
    <xf numFmtId="0" fontId="75" fillId="0" borderId="20" xfId="0" applyFont="1" applyBorder="1" applyAlignment="1">
      <alignment horizontal="center" vertical="top"/>
    </xf>
    <xf numFmtId="49" fontId="86" fillId="0" borderId="26" xfId="0" applyNumberFormat="1" applyFont="1" applyBorder="1" applyAlignment="1">
      <alignment horizontal="center" vertical="top" wrapText="1"/>
    </xf>
    <xf numFmtId="49" fontId="84" fillId="0" borderId="26" xfId="0" applyNumberFormat="1" applyFont="1" applyBorder="1" applyAlignment="1">
      <alignment horizontal="center" vertical="top" wrapText="1"/>
    </xf>
    <xf numFmtId="49" fontId="84" fillId="0" borderId="26" xfId="0" applyNumberFormat="1" applyFont="1" applyBorder="1" applyAlignment="1">
      <alignment horizontal="center" vertical="top"/>
    </xf>
    <xf numFmtId="49" fontId="82" fillId="0" borderId="0" xfId="0" applyNumberFormat="1" applyFont="1" applyAlignment="1">
      <alignment horizontal="center" vertical="top"/>
    </xf>
    <xf numFmtId="49" fontId="88" fillId="0" borderId="0" xfId="0" applyNumberFormat="1" applyFont="1" applyAlignment="1">
      <alignment horizontal="center" vertical="top"/>
    </xf>
    <xf numFmtId="49" fontId="83" fillId="0" borderId="18" xfId="0" applyNumberFormat="1" applyFont="1" applyBorder="1" applyAlignment="1">
      <alignment horizontal="center" vertical="top"/>
    </xf>
    <xf numFmtId="49" fontId="85" fillId="0" borderId="26" xfId="0" applyNumberFormat="1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/>
    </xf>
    <xf numFmtId="0" fontId="59" fillId="0" borderId="0" xfId="0" applyFont="1" applyAlignment="1">
      <alignment horizontal="center"/>
    </xf>
    <xf numFmtId="0" fontId="60" fillId="0" borderId="0" xfId="0" applyFont="1"/>
    <xf numFmtId="0" fontId="59" fillId="0" borderId="0" xfId="0" applyFont="1" applyAlignment="1">
      <alignment horizontal="center"/>
    </xf>
    <xf numFmtId="0" fontId="59" fillId="0" borderId="0" xfId="0" applyFont="1"/>
    <xf numFmtId="0" fontId="59" fillId="0" borderId="17" xfId="0" applyFont="1" applyBorder="1" applyAlignment="1">
      <alignment horizontal="center" wrapText="1"/>
    </xf>
    <xf numFmtId="0" fontId="59" fillId="0" borderId="17" xfId="0" applyFont="1" applyBorder="1" applyAlignment="1">
      <alignment horizontal="center"/>
    </xf>
    <xf numFmtId="0" fontId="59" fillId="0" borderId="17" xfId="0" applyFont="1" applyBorder="1" applyAlignment="1">
      <alignment horizontal="center" vertical="center" wrapText="1"/>
    </xf>
    <xf numFmtId="0" fontId="60" fillId="0" borderId="17" xfId="0" applyFont="1" applyBorder="1" applyAlignment="1">
      <alignment horizontal="center"/>
    </xf>
    <xf numFmtId="0" fontId="60" fillId="0" borderId="17" xfId="0" applyFont="1" applyBorder="1" applyAlignment="1">
      <alignment horizontal="left" indent="1"/>
    </xf>
    <xf numFmtId="0" fontId="59" fillId="0" borderId="17" xfId="0" applyFont="1" applyBorder="1" applyAlignment="1">
      <alignment horizontal="left" indent="1"/>
    </xf>
    <xf numFmtId="0" fontId="59" fillId="0" borderId="17" xfId="0" applyFont="1" applyBorder="1"/>
  </cellXfs>
  <cellStyles count="6">
    <cellStyle name="Comma" xfId="3" builtinId="3"/>
    <cellStyle name="Comma 2" xfId="1" xr:uid="{AF439BDB-DD45-4274-A36D-7F33AF2F49B1}"/>
    <cellStyle name="Comma 2 2" xfId="5" xr:uid="{66A17447-5594-4F3C-B8C2-2B2CF5F2DA89}"/>
    <cellStyle name="Normal" xfId="0" builtinId="0"/>
    <cellStyle name="Normal 2" xfId="2" xr:uid="{732A76F3-9EC2-431F-A6BF-DE0147763349}"/>
    <cellStyle name="Percent 2" xfId="4" xr:uid="{C76B83E2-0B47-4C5D-9D0B-BB4CF4C2566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1162050</xdr:colOff>
      <xdr:row>2</xdr:row>
      <xdr:rowOff>504824</xdr:rowOff>
    </xdr:from>
    <xdr:to>
      <xdr:col>6</xdr:col>
      <xdr:colOff>238125</xdr:colOff>
      <xdr:row>9</xdr:row>
      <xdr:rowOff>371474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DA9891FE-12CB-4ABA-B6B3-5B169A239973}"/>
            </a:ext>
          </a:extLst>
        </xdr:cNvPr>
        <xdr:cNvSpPr>
          <a:spLocks/>
        </xdr:cNvSpPr>
      </xdr:nvSpPr>
      <xdr:spPr bwMode="auto">
        <a:xfrm>
          <a:off x="6686550" y="1000124"/>
          <a:ext cx="304800" cy="2847975"/>
        </a:xfrm>
        <a:prstGeom prst="rightBrace">
          <a:avLst>
            <a:gd name="adj1" fmla="val 6944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ARI\Arr%20Addl%20Information\ARR%20-%202022-23\Depreciation%202015-16%20to%202022-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ARI\Arr%20Addl%20Information\ARR%20-%202022-23\Consumer%20Security%20Deposit%20Int%202018-19%20to%2020222-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-16 Actuals"/>
      <sheetName val="2015-16 V (3)"/>
      <sheetName val="2016-17  Actual"/>
      <sheetName val="2016-17 V "/>
      <sheetName val="2017-18 Actual"/>
      <sheetName val="2017-18 V  "/>
      <sheetName val="2018-19 Actual"/>
      <sheetName val="2018-19 "/>
      <sheetName val="2019-20 Actual "/>
      <sheetName val="2019-20 "/>
      <sheetName val="2020-21 actual"/>
      <sheetName val="2020-21 "/>
      <sheetName val="2021-22 Actual"/>
      <sheetName val="2021-22 act "/>
      <sheetName val="2022-23 Projected "/>
      <sheetName val="2022-23 proj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3">
          <cell r="I13">
            <v>64424365.700717606</v>
          </cell>
        </row>
        <row r="26">
          <cell r="I26">
            <v>48045906.23394502</v>
          </cell>
        </row>
        <row r="29">
          <cell r="I29">
            <v>13835.470324229282</v>
          </cell>
        </row>
        <row r="30">
          <cell r="I30">
            <v>112484107.40498686</v>
          </cell>
        </row>
        <row r="74">
          <cell r="I74">
            <v>659940.18919500022</v>
          </cell>
        </row>
        <row r="76">
          <cell r="I76">
            <v>68362.021998900003</v>
          </cell>
        </row>
      </sheetData>
      <sheetData sheetId="15">
        <row r="11">
          <cell r="H11">
            <v>68362.021998900003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1-12 Act"/>
      <sheetName val="2012-13 Act"/>
      <sheetName val="2013-14 Act"/>
      <sheetName val="2014-15 Act"/>
      <sheetName val="2015-16 Act"/>
      <sheetName val="2016-17  Act"/>
      <sheetName val="2017-18 Act"/>
      <sheetName val="2018-19 aCT"/>
      <sheetName val="2019-20 Act"/>
      <sheetName val="2020-21 Act"/>
      <sheetName val="2021-22 Estt"/>
      <sheetName val="2022-23 pro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9">
          <cell r="D19">
            <v>91029713.799999997</v>
          </cell>
        </row>
        <row r="42">
          <cell r="D42">
            <v>4518279.24</v>
          </cell>
        </row>
      </sheetData>
      <sheetData sheetId="1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otal dec ht" connectionId="1" xr16:uid="{D2B84F52-9306-4170-A767-9DFC8135DF8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workbookViewId="0">
      <selection activeCell="A3" sqref="A3:A4"/>
    </sheetView>
  </sheetViews>
  <sheetFormatPr defaultRowHeight="15.75" x14ac:dyDescent="0.25"/>
  <cols>
    <col min="1" max="1" width="7.5703125" style="1" customWidth="1"/>
    <col min="2" max="2" width="21.7109375" style="1" customWidth="1"/>
    <col min="3" max="3" width="7.85546875" style="1" bestFit="1" customWidth="1"/>
    <col min="4" max="4" width="11.140625" style="1" customWidth="1"/>
    <col min="5" max="5" width="12.42578125" style="1" customWidth="1"/>
    <col min="6" max="6" width="13.85546875" style="1" customWidth="1"/>
    <col min="7" max="7" width="11.28515625" style="1" customWidth="1"/>
    <col min="8" max="8" width="11.42578125" style="1" customWidth="1"/>
    <col min="9" max="9" width="11.85546875" style="1" customWidth="1"/>
    <col min="10" max="10" width="10.5703125" style="1" customWidth="1"/>
    <col min="11" max="11" width="11.7109375" style="1" customWidth="1"/>
    <col min="12" max="12" width="13" style="1" customWidth="1"/>
    <col min="13" max="16384" width="9.140625" style="1"/>
  </cols>
  <sheetData>
    <row r="1" spans="1:11" ht="30.75" customHeight="1" x14ac:dyDescent="0.25">
      <c r="A1" s="393" t="s">
        <v>0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</row>
    <row r="2" spans="1:11" ht="18.75" customHeight="1" x14ac:dyDescent="0.25">
      <c r="A2" s="394" t="s">
        <v>712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</row>
    <row r="3" spans="1:11" x14ac:dyDescent="0.25">
      <c r="A3" s="392" t="s">
        <v>1</v>
      </c>
      <c r="B3" s="392" t="s">
        <v>2</v>
      </c>
      <c r="C3" s="392" t="s">
        <v>17</v>
      </c>
      <c r="D3" s="2" t="s">
        <v>3</v>
      </c>
      <c r="E3" s="2" t="s">
        <v>4</v>
      </c>
      <c r="F3" s="2" t="s">
        <v>5</v>
      </c>
      <c r="G3" s="2" t="s">
        <v>14</v>
      </c>
      <c r="H3" s="2" t="s">
        <v>15</v>
      </c>
      <c r="I3" s="2" t="s">
        <v>16</v>
      </c>
      <c r="J3" s="2" t="s">
        <v>21</v>
      </c>
      <c r="K3" s="3" t="s">
        <v>22</v>
      </c>
    </row>
    <row r="4" spans="1:11" x14ac:dyDescent="0.25">
      <c r="A4" s="392"/>
      <c r="B4" s="392"/>
      <c r="C4" s="392"/>
      <c r="D4" s="4" t="s">
        <v>19</v>
      </c>
      <c r="E4" s="4" t="s">
        <v>19</v>
      </c>
      <c r="F4" s="4" t="s">
        <v>19</v>
      </c>
      <c r="G4" s="4" t="s">
        <v>19</v>
      </c>
      <c r="H4" s="4" t="s">
        <v>19</v>
      </c>
      <c r="I4" s="4" t="s">
        <v>19</v>
      </c>
      <c r="J4" s="4" t="s">
        <v>19</v>
      </c>
      <c r="K4" s="4" t="s">
        <v>19</v>
      </c>
    </row>
    <row r="5" spans="1:11" ht="24.95" customHeight="1" x14ac:dyDescent="0.25">
      <c r="A5" s="5">
        <v>1</v>
      </c>
      <c r="B5" s="6" t="s">
        <v>6</v>
      </c>
      <c r="C5" s="6" t="s">
        <v>18</v>
      </c>
      <c r="D5" s="7">
        <v>134028</v>
      </c>
      <c r="E5" s="7">
        <v>138028</v>
      </c>
      <c r="F5" s="7">
        <v>142528</v>
      </c>
      <c r="G5" s="6">
        <v>147999</v>
      </c>
      <c r="H5" s="6">
        <v>151827</v>
      </c>
      <c r="I5" s="7">
        <v>160867</v>
      </c>
      <c r="J5" s="6">
        <v>162797</v>
      </c>
      <c r="K5" s="6">
        <v>165400</v>
      </c>
    </row>
    <row r="6" spans="1:11" ht="24.95" customHeight="1" x14ac:dyDescent="0.25">
      <c r="A6" s="5">
        <v>2</v>
      </c>
      <c r="B6" s="6" t="s">
        <v>7</v>
      </c>
      <c r="C6" s="6" t="s">
        <v>18</v>
      </c>
      <c r="D6" s="7">
        <v>9734</v>
      </c>
      <c r="E6" s="7">
        <v>10266</v>
      </c>
      <c r="F6" s="7">
        <v>10673</v>
      </c>
      <c r="G6" s="6">
        <v>11658</v>
      </c>
      <c r="H6" s="6">
        <v>12283</v>
      </c>
      <c r="I6" s="7">
        <v>13409</v>
      </c>
      <c r="J6" s="6">
        <v>14169</v>
      </c>
      <c r="K6" s="6">
        <v>14519</v>
      </c>
    </row>
    <row r="7" spans="1:11" ht="24.95" customHeight="1" x14ac:dyDescent="0.25">
      <c r="A7" s="5">
        <v>3</v>
      </c>
      <c r="B7" s="6" t="s">
        <v>8</v>
      </c>
      <c r="C7" s="6" t="s">
        <v>18</v>
      </c>
      <c r="D7" s="8">
        <v>1302</v>
      </c>
      <c r="E7" s="7">
        <v>1325</v>
      </c>
      <c r="F7" s="7">
        <v>1335</v>
      </c>
      <c r="G7" s="6">
        <v>1349</v>
      </c>
      <c r="H7" s="6">
        <v>1384</v>
      </c>
      <c r="I7" s="7">
        <v>1341</v>
      </c>
      <c r="J7" s="6">
        <v>1155</v>
      </c>
      <c r="K7" s="6">
        <v>1218</v>
      </c>
    </row>
    <row r="8" spans="1:11" ht="24.95" customHeight="1" x14ac:dyDescent="0.25">
      <c r="A8" s="5">
        <v>4</v>
      </c>
      <c r="B8" s="6" t="s">
        <v>9</v>
      </c>
      <c r="C8" s="6" t="s">
        <v>18</v>
      </c>
      <c r="D8" s="7">
        <v>5835</v>
      </c>
      <c r="E8" s="7">
        <v>5757</v>
      </c>
      <c r="F8" s="7">
        <v>5758</v>
      </c>
      <c r="G8" s="6">
        <v>5687</v>
      </c>
      <c r="H8" s="6">
        <v>5704</v>
      </c>
      <c r="I8" s="7">
        <v>5752</v>
      </c>
      <c r="J8" s="6">
        <v>5744</v>
      </c>
      <c r="K8" s="6">
        <v>5775</v>
      </c>
    </row>
    <row r="9" spans="1:11" ht="24.95" customHeight="1" x14ac:dyDescent="0.25">
      <c r="A9" s="5">
        <v>5</v>
      </c>
      <c r="B9" s="6" t="s">
        <v>10</v>
      </c>
      <c r="C9" s="6" t="s">
        <v>18</v>
      </c>
      <c r="D9" s="7">
        <v>63422</v>
      </c>
      <c r="E9" s="7">
        <v>64533</v>
      </c>
      <c r="F9" s="7">
        <v>65888</v>
      </c>
      <c r="G9" s="6">
        <v>66176</v>
      </c>
      <c r="H9" s="6">
        <v>69293</v>
      </c>
      <c r="I9" s="7">
        <v>71543</v>
      </c>
      <c r="J9" s="6">
        <v>73287</v>
      </c>
      <c r="K9" s="6">
        <v>76287</v>
      </c>
    </row>
    <row r="10" spans="1:11" ht="24.95" customHeight="1" x14ac:dyDescent="0.25">
      <c r="A10" s="5">
        <v>6</v>
      </c>
      <c r="B10" s="6" t="s">
        <v>11</v>
      </c>
      <c r="C10" s="6" t="s">
        <v>18</v>
      </c>
      <c r="D10" s="7">
        <v>459</v>
      </c>
      <c r="E10" s="7">
        <v>546</v>
      </c>
      <c r="F10" s="7">
        <v>564</v>
      </c>
      <c r="G10" s="6">
        <v>571</v>
      </c>
      <c r="H10" s="6">
        <v>598</v>
      </c>
      <c r="I10" s="7">
        <v>1315</v>
      </c>
      <c r="J10" s="6">
        <v>1328</v>
      </c>
      <c r="K10" s="6">
        <v>1328</v>
      </c>
    </row>
    <row r="11" spans="1:11" ht="24.95" customHeight="1" x14ac:dyDescent="0.25">
      <c r="A11" s="5">
        <v>7</v>
      </c>
      <c r="B11" s="6" t="s">
        <v>12</v>
      </c>
      <c r="C11" s="6" t="s">
        <v>18</v>
      </c>
      <c r="D11" s="7">
        <v>948</v>
      </c>
      <c r="E11" s="7">
        <v>1211</v>
      </c>
      <c r="F11" s="7">
        <v>1228</v>
      </c>
      <c r="G11" s="6">
        <v>1245</v>
      </c>
      <c r="H11" s="6">
        <v>1281</v>
      </c>
      <c r="I11" s="7">
        <v>1762</v>
      </c>
      <c r="J11" s="6">
        <v>1784</v>
      </c>
      <c r="K11" s="6">
        <v>1800</v>
      </c>
    </row>
    <row r="12" spans="1:11" ht="24.95" customHeight="1" x14ac:dyDescent="0.25">
      <c r="A12" s="5">
        <v>8</v>
      </c>
      <c r="B12" s="6" t="s">
        <v>13</v>
      </c>
      <c r="C12" s="6" t="s">
        <v>18</v>
      </c>
      <c r="D12" s="7">
        <v>844</v>
      </c>
      <c r="E12" s="7">
        <v>865</v>
      </c>
      <c r="F12" s="7">
        <v>902</v>
      </c>
      <c r="G12" s="6">
        <v>934</v>
      </c>
      <c r="H12" s="6">
        <v>953</v>
      </c>
      <c r="I12" s="7">
        <v>970</v>
      </c>
      <c r="J12" s="6">
        <v>974</v>
      </c>
      <c r="K12" s="6">
        <v>974</v>
      </c>
    </row>
    <row r="13" spans="1:11" ht="24.95" customHeight="1" x14ac:dyDescent="0.25">
      <c r="A13" s="9">
        <v>9</v>
      </c>
      <c r="B13" s="10" t="s">
        <v>23</v>
      </c>
      <c r="C13" s="6"/>
      <c r="D13" s="6"/>
      <c r="E13" s="6"/>
      <c r="F13" s="6"/>
      <c r="G13" s="6"/>
      <c r="H13" s="6"/>
      <c r="I13" s="6"/>
      <c r="J13" s="6">
        <v>48</v>
      </c>
      <c r="K13" s="6">
        <v>53</v>
      </c>
    </row>
    <row r="14" spans="1:11" ht="24.95" customHeight="1" x14ac:dyDescent="0.25">
      <c r="A14" s="6"/>
      <c r="B14" s="6" t="s">
        <v>20</v>
      </c>
      <c r="C14" s="6"/>
      <c r="D14" s="6">
        <f>SUM(D5:D13)</f>
        <v>216572</v>
      </c>
      <c r="E14" s="6">
        <f t="shared" ref="E14:I14" si="0">SUM(E5:E13)</f>
        <v>222531</v>
      </c>
      <c r="F14" s="6">
        <f t="shared" si="0"/>
        <v>228876</v>
      </c>
      <c r="G14" s="6">
        <f t="shared" si="0"/>
        <v>235619</v>
      </c>
      <c r="H14" s="6">
        <f t="shared" si="0"/>
        <v>243323</v>
      </c>
      <c r="I14" s="6">
        <f t="shared" si="0"/>
        <v>256959</v>
      </c>
      <c r="J14" s="6">
        <f t="shared" ref="J14" si="1">SUM(J5:J13)</f>
        <v>261286</v>
      </c>
      <c r="K14" s="6">
        <f t="shared" ref="K14" si="2">SUM(K5:K13)</f>
        <v>267354</v>
      </c>
    </row>
  </sheetData>
  <mergeCells count="5">
    <mergeCell ref="A3:A4"/>
    <mergeCell ref="B3:B4"/>
    <mergeCell ref="C3:C4"/>
    <mergeCell ref="A1:K1"/>
    <mergeCell ref="A2:K2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1085F-44B2-49E5-A86A-006C9F5734F5}">
  <dimension ref="A1:L74"/>
  <sheetViews>
    <sheetView topLeftCell="A10" workbookViewId="0">
      <selection activeCell="G11" sqref="G11"/>
    </sheetView>
  </sheetViews>
  <sheetFormatPr defaultRowHeight="20.100000000000001" customHeight="1" x14ac:dyDescent="0.2"/>
  <cols>
    <col min="1" max="1" width="5.28515625" style="63" customWidth="1"/>
    <col min="2" max="2" width="29.42578125" style="63" customWidth="1"/>
    <col min="3" max="3" width="8.28515625" style="63" customWidth="1"/>
    <col min="4" max="4" width="13.85546875" style="63" customWidth="1"/>
    <col min="5" max="5" width="14.28515625" style="63" customWidth="1"/>
    <col min="6" max="6" width="15.28515625" style="63" customWidth="1"/>
    <col min="7" max="7" width="10.28515625" style="63" customWidth="1"/>
    <col min="8" max="8" width="14.140625" style="63" customWidth="1"/>
    <col min="9" max="9" width="9" style="63" bestFit="1" customWidth="1"/>
    <col min="10" max="10" width="10.42578125" style="63" customWidth="1"/>
    <col min="11" max="16384" width="9.140625" style="63"/>
  </cols>
  <sheetData>
    <row r="1" spans="1:11" ht="20.100000000000001" customHeight="1" x14ac:dyDescent="0.25">
      <c r="A1" s="420" t="s">
        <v>342</v>
      </c>
      <c r="B1" s="420"/>
      <c r="C1" s="420"/>
      <c r="D1" s="420"/>
      <c r="E1" s="420"/>
      <c r="F1" s="420"/>
      <c r="G1" s="420"/>
      <c r="H1" s="420"/>
      <c r="I1" s="420"/>
    </row>
    <row r="2" spans="1:11" ht="20.100000000000001" customHeight="1" x14ac:dyDescent="0.25">
      <c r="A2" s="421" t="s">
        <v>343</v>
      </c>
      <c r="B2" s="421"/>
      <c r="C2" s="421"/>
      <c r="D2" s="421"/>
      <c r="E2" s="421"/>
      <c r="F2" s="421"/>
      <c r="G2" s="421"/>
      <c r="H2" s="421"/>
      <c r="I2" s="421"/>
    </row>
    <row r="3" spans="1:11" ht="96" customHeight="1" x14ac:dyDescent="0.2">
      <c r="A3" s="263" t="s">
        <v>254</v>
      </c>
      <c r="B3" s="264" t="s">
        <v>344</v>
      </c>
      <c r="C3" s="45" t="s">
        <v>257</v>
      </c>
      <c r="D3" s="46" t="s">
        <v>258</v>
      </c>
      <c r="E3" s="46" t="s">
        <v>345</v>
      </c>
      <c r="F3" s="46" t="s">
        <v>346</v>
      </c>
      <c r="G3" s="47" t="s">
        <v>347</v>
      </c>
      <c r="H3" s="265" t="s">
        <v>348</v>
      </c>
      <c r="I3" s="266" t="s">
        <v>263</v>
      </c>
      <c r="J3" s="267" t="s">
        <v>349</v>
      </c>
    </row>
    <row r="4" spans="1:11" ht="30" customHeight="1" x14ac:dyDescent="0.25">
      <c r="A4" s="64">
        <v>1</v>
      </c>
      <c r="B4" s="65" t="s">
        <v>350</v>
      </c>
      <c r="C4" s="64" t="s">
        <v>319</v>
      </c>
      <c r="D4" s="268">
        <v>655637.04</v>
      </c>
      <c r="E4" s="269">
        <v>632758.68999999994</v>
      </c>
      <c r="F4" s="269">
        <f>D4-E4</f>
        <v>22878.350000000093</v>
      </c>
      <c r="G4" s="66"/>
      <c r="H4" s="67">
        <f>G4*I4</f>
        <v>0</v>
      </c>
      <c r="I4" s="68">
        <v>0.33400000000000002</v>
      </c>
      <c r="J4" s="69"/>
    </row>
    <row r="5" spans="1:11" ht="30" customHeight="1" x14ac:dyDescent="0.25">
      <c r="A5" s="64">
        <v>2</v>
      </c>
      <c r="B5" s="65" t="s">
        <v>351</v>
      </c>
      <c r="C5" s="64" t="s">
        <v>319</v>
      </c>
      <c r="D5" s="268">
        <v>255951.61</v>
      </c>
      <c r="E5" s="269">
        <v>247020.33</v>
      </c>
      <c r="F5" s="269">
        <f t="shared" ref="F5:F10" si="0">D5-E5</f>
        <v>8931.2799999999988</v>
      </c>
      <c r="G5" s="66"/>
      <c r="H5" s="67">
        <f>G5*I5</f>
        <v>0</v>
      </c>
      <c r="I5" s="68">
        <v>0.33400000000000002</v>
      </c>
      <c r="J5" s="69"/>
    </row>
    <row r="6" spans="1:11" ht="30" customHeight="1" x14ac:dyDescent="0.25">
      <c r="A6" s="64">
        <v>3</v>
      </c>
      <c r="B6" s="65" t="s">
        <v>352</v>
      </c>
      <c r="C6" s="64" t="s">
        <v>319</v>
      </c>
      <c r="D6" s="268">
        <v>313644.89</v>
      </c>
      <c r="E6" s="269">
        <v>335831.3</v>
      </c>
      <c r="F6" s="269">
        <f t="shared" si="0"/>
        <v>-22186.409999999974</v>
      </c>
      <c r="G6" s="66"/>
      <c r="H6" s="67">
        <f>G6*I6</f>
        <v>0</v>
      </c>
      <c r="I6" s="68">
        <v>0.33400000000000002</v>
      </c>
      <c r="J6" s="69"/>
    </row>
    <row r="7" spans="1:11" ht="30" customHeight="1" x14ac:dyDescent="0.25">
      <c r="A7" s="64">
        <v>4</v>
      </c>
      <c r="B7" s="65" t="s">
        <v>353</v>
      </c>
      <c r="C7" s="64" t="s">
        <v>319</v>
      </c>
      <c r="D7" s="268">
        <v>279361.90999999997</v>
      </c>
      <c r="E7" s="269">
        <v>268175.34999999998</v>
      </c>
      <c r="F7" s="269">
        <f t="shared" si="0"/>
        <v>11186.559999999998</v>
      </c>
      <c r="G7" s="66"/>
      <c r="H7" s="67">
        <f>G7*I7</f>
        <v>0</v>
      </c>
      <c r="I7" s="68">
        <v>0.33400000000000002</v>
      </c>
      <c r="J7" s="69"/>
    </row>
    <row r="8" spans="1:11" ht="39" customHeight="1" x14ac:dyDescent="0.25">
      <c r="A8" s="64">
        <v>5</v>
      </c>
      <c r="B8" s="70" t="s">
        <v>354</v>
      </c>
      <c r="C8" s="64" t="s">
        <v>319</v>
      </c>
      <c r="D8" s="268">
        <v>349335.72</v>
      </c>
      <c r="E8" s="270">
        <v>329334.82</v>
      </c>
      <c r="F8" s="269">
        <f t="shared" si="0"/>
        <v>20000.899999999965</v>
      </c>
      <c r="G8" s="422" t="s">
        <v>355</v>
      </c>
      <c r="H8" s="423"/>
      <c r="I8" s="68">
        <v>0.33400000000000002</v>
      </c>
      <c r="J8" s="69"/>
    </row>
    <row r="9" spans="1:11" ht="30" customHeight="1" x14ac:dyDescent="0.25">
      <c r="A9" s="64">
        <v>6</v>
      </c>
      <c r="B9" s="65" t="s">
        <v>356</v>
      </c>
      <c r="C9" s="64" t="s">
        <v>357</v>
      </c>
      <c r="D9" s="268">
        <v>599040</v>
      </c>
      <c r="E9" s="268">
        <f>593265.47-153584.39</f>
        <v>439681.07999999996</v>
      </c>
      <c r="F9" s="269">
        <f t="shared" si="0"/>
        <v>159358.92000000004</v>
      </c>
      <c r="G9" s="66"/>
      <c r="H9" s="67"/>
      <c r="I9" s="68">
        <v>0.33400000000000002</v>
      </c>
      <c r="J9" s="71"/>
      <c r="K9" s="72"/>
    </row>
    <row r="10" spans="1:11" ht="30" customHeight="1" x14ac:dyDescent="0.25">
      <c r="A10" s="64">
        <v>7</v>
      </c>
      <c r="B10" s="65" t="s">
        <v>358</v>
      </c>
      <c r="C10" s="64" t="s">
        <v>357</v>
      </c>
      <c r="D10" s="268">
        <v>599040</v>
      </c>
      <c r="E10" s="270">
        <v>593265.47</v>
      </c>
      <c r="F10" s="269">
        <f t="shared" si="0"/>
        <v>5774.5300000000279</v>
      </c>
      <c r="G10" s="66"/>
      <c r="H10" s="67"/>
      <c r="I10" s="68">
        <v>0.33400000000000002</v>
      </c>
      <c r="J10" s="71"/>
      <c r="K10" s="72"/>
    </row>
    <row r="11" spans="1:11" ht="30" customHeight="1" x14ac:dyDescent="0.25">
      <c r="A11" s="64">
        <v>8</v>
      </c>
      <c r="B11" s="65" t="s">
        <v>359</v>
      </c>
      <c r="C11" s="64" t="s">
        <v>360</v>
      </c>
      <c r="D11" s="268">
        <v>1455434</v>
      </c>
      <c r="E11" s="270">
        <v>543575.63</v>
      </c>
      <c r="F11" s="269">
        <f>D11-E11</f>
        <v>911858.37</v>
      </c>
      <c r="G11" s="66">
        <f>F11*90%</f>
        <v>820672.53300000005</v>
      </c>
      <c r="H11" s="67">
        <f>G11*8.33%</f>
        <v>68362.021998900003</v>
      </c>
      <c r="I11" s="68">
        <v>8.3299999999999999E-2</v>
      </c>
      <c r="J11" s="71">
        <f>H11+E11</f>
        <v>611937.65199889999</v>
      </c>
      <c r="K11" s="72"/>
    </row>
    <row r="12" spans="1:11" ht="30" customHeight="1" x14ac:dyDescent="0.25">
      <c r="A12" s="73" t="s">
        <v>361</v>
      </c>
      <c r="B12" s="74"/>
      <c r="C12" s="75"/>
      <c r="D12" s="271">
        <f>SUM(D4:D11)</f>
        <v>4507445.17</v>
      </c>
      <c r="E12" s="271">
        <f>SUM(E4:E11)</f>
        <v>3389642.67</v>
      </c>
      <c r="F12" s="271">
        <f>SUM(F4:F11)</f>
        <v>1117802.5000000002</v>
      </c>
      <c r="G12" s="66"/>
      <c r="H12" s="76">
        <f>H11</f>
        <v>68362.021998900003</v>
      </c>
      <c r="I12" s="77"/>
      <c r="J12" s="69"/>
      <c r="K12" s="72"/>
    </row>
    <row r="13" spans="1:11" ht="35.1" customHeight="1" x14ac:dyDescent="0.25">
      <c r="A13" s="78"/>
      <c r="B13" s="79"/>
      <c r="C13" s="80"/>
      <c r="D13" s="81"/>
      <c r="E13" s="82"/>
      <c r="F13" s="82"/>
      <c r="G13" s="82"/>
      <c r="H13" s="83"/>
      <c r="I13" s="83"/>
    </row>
    <row r="14" spans="1:11" ht="20.100000000000001" customHeight="1" x14ac:dyDescent="0.2">
      <c r="A14" s="84"/>
      <c r="D14" s="72"/>
      <c r="E14" s="72"/>
      <c r="F14" s="85"/>
      <c r="H14" s="72"/>
    </row>
    <row r="15" spans="1:11" ht="20.100000000000001" customHeight="1" x14ac:dyDescent="0.2">
      <c r="A15" s="84"/>
      <c r="D15" s="72"/>
      <c r="E15" s="72"/>
      <c r="H15" s="72"/>
    </row>
    <row r="16" spans="1:11" ht="20.100000000000001" customHeight="1" x14ac:dyDescent="0.2">
      <c r="A16" s="84"/>
      <c r="D16" s="72"/>
      <c r="E16" s="72"/>
      <c r="H16" s="72"/>
    </row>
    <row r="17" spans="1:12" ht="20.100000000000001" customHeight="1" x14ac:dyDescent="0.2">
      <c r="A17" s="84"/>
      <c r="D17" s="72"/>
      <c r="E17" s="72"/>
      <c r="H17" s="72"/>
    </row>
    <row r="18" spans="1:12" ht="20.100000000000001" customHeight="1" x14ac:dyDescent="0.3">
      <c r="A18" s="86" t="s">
        <v>362</v>
      </c>
      <c r="C18" s="87" t="s">
        <v>363</v>
      </c>
    </row>
    <row r="19" spans="1:12" ht="20.100000000000001" customHeight="1" x14ac:dyDescent="0.25">
      <c r="A19" s="88">
        <v>234</v>
      </c>
      <c r="B19" s="89">
        <f>'[1]2022-23 Projected '!I13/4</f>
        <v>16106091.425179401</v>
      </c>
    </row>
    <row r="20" spans="1:12" ht="20.100000000000001" customHeight="1" x14ac:dyDescent="0.25">
      <c r="A20" s="88">
        <v>235</v>
      </c>
      <c r="B20" s="89">
        <f>'[1]2022-23 Projected '!I26/4</f>
        <v>12011476.558486255</v>
      </c>
      <c r="D20" s="90" t="s">
        <v>364</v>
      </c>
      <c r="E20" s="91"/>
      <c r="F20" s="272">
        <f>'[1]2022-23 Projected '!I30</f>
        <v>112484107.40498686</v>
      </c>
      <c r="G20" s="72"/>
    </row>
    <row r="21" spans="1:12" ht="20.100000000000001" customHeight="1" x14ac:dyDescent="0.25">
      <c r="A21" s="88">
        <v>236</v>
      </c>
      <c r="B21" s="89">
        <f>'[1]2022-23 Projected '!I29/4</f>
        <v>3458.8675810573204</v>
      </c>
      <c r="D21" s="90" t="s">
        <v>365</v>
      </c>
      <c r="E21" s="91"/>
      <c r="F21" s="273">
        <f>'[1]2022-23 Projected '!I74</f>
        <v>659940.18919500022</v>
      </c>
      <c r="G21" s="72"/>
    </row>
    <row r="22" spans="1:12" ht="20.100000000000001" customHeight="1" x14ac:dyDescent="0.25">
      <c r="B22" s="93">
        <f>SUM(B19:B21)</f>
        <v>28121026.851246715</v>
      </c>
      <c r="D22" s="90" t="s">
        <v>366</v>
      </c>
      <c r="E22" s="91"/>
      <c r="F22" s="273">
        <f>'[1]2022-23 Projected '!I76</f>
        <v>68362.021998900003</v>
      </c>
      <c r="G22" s="72"/>
    </row>
    <row r="23" spans="1:12" ht="20.100000000000001" customHeight="1" x14ac:dyDescent="0.25">
      <c r="A23" s="86" t="s">
        <v>367</v>
      </c>
      <c r="E23" s="94" t="s">
        <v>368</v>
      </c>
      <c r="F23" s="95">
        <f>SUM(F20:F22)</f>
        <v>113212409.61618076</v>
      </c>
    </row>
    <row r="24" spans="1:12" ht="20.100000000000001" customHeight="1" x14ac:dyDescent="0.25">
      <c r="A24" s="96">
        <v>234</v>
      </c>
      <c r="B24" s="89">
        <f>B19</f>
        <v>16106091.425179401</v>
      </c>
      <c r="D24" s="72"/>
    </row>
    <row r="25" spans="1:12" ht="20.100000000000001" customHeight="1" x14ac:dyDescent="0.25">
      <c r="A25" s="96">
        <v>235</v>
      </c>
      <c r="B25" s="89">
        <f>B20</f>
        <v>12011476.558486255</v>
      </c>
    </row>
    <row r="26" spans="1:12" ht="20.100000000000001" customHeight="1" x14ac:dyDescent="0.25">
      <c r="A26" s="96">
        <v>236</v>
      </c>
      <c r="B26" s="89">
        <f>B21</f>
        <v>3458.8675810573204</v>
      </c>
      <c r="F26" s="97" t="s">
        <v>369</v>
      </c>
      <c r="H26" s="97" t="s">
        <v>370</v>
      </c>
    </row>
    <row r="27" spans="1:12" ht="20.100000000000001" customHeight="1" x14ac:dyDescent="0.25">
      <c r="B27" s="93">
        <f>SUM(B24:B26)</f>
        <v>28121026.851246715</v>
      </c>
      <c r="F27" s="92">
        <f>F21/4</f>
        <v>164985.04729875005</v>
      </c>
      <c r="H27" s="92">
        <f>H11/4</f>
        <v>17090.505499725001</v>
      </c>
      <c r="I27" s="72">
        <f>'[1]2019-20 Actual '!L34</f>
        <v>0</v>
      </c>
      <c r="L27" s="72">
        <f>'[1]2019-20 Actual '!O34</f>
        <v>0</v>
      </c>
    </row>
    <row r="28" spans="1:12" ht="20.100000000000001" customHeight="1" x14ac:dyDescent="0.25">
      <c r="A28" s="86" t="s">
        <v>371</v>
      </c>
      <c r="C28" s="86" t="s">
        <v>372</v>
      </c>
      <c r="F28" s="92">
        <f>F27</f>
        <v>164985.04729875005</v>
      </c>
      <c r="H28" s="92">
        <f>H27</f>
        <v>17090.505499725001</v>
      </c>
    </row>
    <row r="29" spans="1:12" ht="20.100000000000001" customHeight="1" x14ac:dyDescent="0.25">
      <c r="A29" s="96">
        <v>234</v>
      </c>
      <c r="B29" s="89">
        <f>B24</f>
        <v>16106091.425179401</v>
      </c>
      <c r="C29" s="96">
        <v>234</v>
      </c>
      <c r="D29" s="274">
        <f>B29</f>
        <v>16106091.425179401</v>
      </c>
      <c r="F29" s="92">
        <f>F28</f>
        <v>164985.04729875005</v>
      </c>
      <c r="H29" s="92">
        <f>H28</f>
        <v>17090.505499725001</v>
      </c>
    </row>
    <row r="30" spans="1:12" ht="20.100000000000001" customHeight="1" x14ac:dyDescent="0.25">
      <c r="A30" s="96">
        <v>235</v>
      </c>
      <c r="B30" s="89">
        <f>B25</f>
        <v>12011476.558486255</v>
      </c>
      <c r="C30" s="96">
        <v>235</v>
      </c>
      <c r="D30" s="274">
        <f>B30</f>
        <v>12011476.558486255</v>
      </c>
      <c r="F30" s="92">
        <f>F29</f>
        <v>164985.04729875005</v>
      </c>
      <c r="H30" s="92">
        <f>H29</f>
        <v>17090.505499725001</v>
      </c>
    </row>
    <row r="31" spans="1:12" ht="20.100000000000001" customHeight="1" x14ac:dyDescent="0.25">
      <c r="A31" s="96">
        <v>236</v>
      </c>
      <c r="B31" s="89">
        <f>B26</f>
        <v>3458.8675810573204</v>
      </c>
      <c r="C31" s="96">
        <v>236</v>
      </c>
      <c r="D31" s="274">
        <f>B31</f>
        <v>3458.8675810573204</v>
      </c>
      <c r="F31" s="98">
        <f>SUM(F27:F30)</f>
        <v>659940.18919500022</v>
      </c>
      <c r="H31" s="98">
        <f>SUM(H27:H30)</f>
        <v>68362.021998900003</v>
      </c>
    </row>
    <row r="32" spans="1:12" ht="20.100000000000001" customHeight="1" x14ac:dyDescent="0.25">
      <c r="B32" s="93">
        <f>SUM(B29:B31)</f>
        <v>28121026.851246715</v>
      </c>
      <c r="D32" s="275">
        <f>SUM(D29:D31)</f>
        <v>28121026.851246715</v>
      </c>
      <c r="H32" s="72"/>
    </row>
    <row r="33" spans="2:8" ht="20.100000000000001" customHeight="1" x14ac:dyDescent="0.2">
      <c r="B33" s="72"/>
      <c r="D33" s="72"/>
      <c r="F33" s="72"/>
      <c r="H33" s="72"/>
    </row>
    <row r="34" spans="2:8" ht="20.100000000000001" customHeight="1" x14ac:dyDescent="0.2">
      <c r="D34" s="72"/>
      <c r="H34" s="72"/>
    </row>
    <row r="35" spans="2:8" ht="20.100000000000001" customHeight="1" x14ac:dyDescent="0.2">
      <c r="D35" s="72"/>
    </row>
    <row r="37" spans="2:8" ht="20.100000000000001" customHeight="1" x14ac:dyDescent="0.2">
      <c r="D37" s="72"/>
    </row>
    <row r="38" spans="2:8" ht="15" customHeight="1" x14ac:dyDescent="0.2">
      <c r="C38" s="72"/>
      <c r="D38" s="72"/>
      <c r="G38" s="424" t="s">
        <v>373</v>
      </c>
      <c r="H38" s="424"/>
    </row>
    <row r="39" spans="2:8" ht="15" customHeight="1" x14ac:dyDescent="0.2">
      <c r="D39" s="99"/>
      <c r="G39" s="424" t="s">
        <v>374</v>
      </c>
      <c r="H39" s="424"/>
    </row>
    <row r="40" spans="2:8" ht="20.100000000000001" customHeight="1" x14ac:dyDescent="0.2">
      <c r="D40" s="100"/>
    </row>
    <row r="74" spans="11:11" ht="20.100000000000001" customHeight="1" x14ac:dyDescent="0.2">
      <c r="K74" s="72">
        <f>'[1]2020-21 actual'!R70</f>
        <v>0</v>
      </c>
    </row>
  </sheetData>
  <mergeCells count="5">
    <mergeCell ref="A1:I1"/>
    <mergeCell ref="A2:I2"/>
    <mergeCell ref="G8:H8"/>
    <mergeCell ref="G38:H38"/>
    <mergeCell ref="G39:H39"/>
  </mergeCells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3E05A-F7D4-45FB-B841-DC4E8980F630}">
  <dimension ref="A1:I60"/>
  <sheetViews>
    <sheetView topLeftCell="A40" zoomScale="130" zoomScaleNormal="130" workbookViewId="0">
      <selection activeCell="C59" sqref="C59"/>
    </sheetView>
  </sheetViews>
  <sheetFormatPr defaultRowHeight="12.75" x14ac:dyDescent="0.2"/>
  <cols>
    <col min="1" max="1" width="31" style="30" bestFit="1" customWidth="1"/>
    <col min="2" max="4" width="12.42578125" style="30" bestFit="1" customWidth="1"/>
    <col min="5" max="5" width="13.42578125" style="30" bestFit="1" customWidth="1"/>
    <col min="6" max="6" width="9.140625" style="30"/>
    <col min="7" max="7" width="13.42578125" style="30" bestFit="1" customWidth="1"/>
    <col min="8" max="8" width="11.140625" style="30" bestFit="1" customWidth="1"/>
    <col min="9" max="256" width="9.140625" style="30"/>
    <col min="257" max="257" width="31" style="30" bestFit="1" customWidth="1"/>
    <col min="258" max="260" width="12.42578125" style="30" bestFit="1" customWidth="1"/>
    <col min="261" max="261" width="13.42578125" style="30" bestFit="1" customWidth="1"/>
    <col min="262" max="262" width="9.140625" style="30"/>
    <col min="263" max="263" width="13.42578125" style="30" bestFit="1" customWidth="1"/>
    <col min="264" max="264" width="11.140625" style="30" bestFit="1" customWidth="1"/>
    <col min="265" max="512" width="9.140625" style="30"/>
    <col min="513" max="513" width="31" style="30" bestFit="1" customWidth="1"/>
    <col min="514" max="516" width="12.42578125" style="30" bestFit="1" customWidth="1"/>
    <col min="517" max="517" width="13.42578125" style="30" bestFit="1" customWidth="1"/>
    <col min="518" max="518" width="9.140625" style="30"/>
    <col min="519" max="519" width="13.42578125" style="30" bestFit="1" customWidth="1"/>
    <col min="520" max="520" width="11.140625" style="30" bestFit="1" customWidth="1"/>
    <col min="521" max="768" width="9.140625" style="30"/>
    <col min="769" max="769" width="31" style="30" bestFit="1" customWidth="1"/>
    <col min="770" max="772" width="12.42578125" style="30" bestFit="1" customWidth="1"/>
    <col min="773" max="773" width="13.42578125" style="30" bestFit="1" customWidth="1"/>
    <col min="774" max="774" width="9.140625" style="30"/>
    <col min="775" max="775" width="13.42578125" style="30" bestFit="1" customWidth="1"/>
    <col min="776" max="776" width="11.140625" style="30" bestFit="1" customWidth="1"/>
    <col min="777" max="1024" width="9.140625" style="30"/>
    <col min="1025" max="1025" width="31" style="30" bestFit="1" customWidth="1"/>
    <col min="1026" max="1028" width="12.42578125" style="30" bestFit="1" customWidth="1"/>
    <col min="1029" max="1029" width="13.42578125" style="30" bestFit="1" customWidth="1"/>
    <col min="1030" max="1030" width="9.140625" style="30"/>
    <col min="1031" max="1031" width="13.42578125" style="30" bestFit="1" customWidth="1"/>
    <col min="1032" max="1032" width="11.140625" style="30" bestFit="1" customWidth="1"/>
    <col min="1033" max="1280" width="9.140625" style="30"/>
    <col min="1281" max="1281" width="31" style="30" bestFit="1" customWidth="1"/>
    <col min="1282" max="1284" width="12.42578125" style="30" bestFit="1" customWidth="1"/>
    <col min="1285" max="1285" width="13.42578125" style="30" bestFit="1" customWidth="1"/>
    <col min="1286" max="1286" width="9.140625" style="30"/>
    <col min="1287" max="1287" width="13.42578125" style="30" bestFit="1" customWidth="1"/>
    <col min="1288" max="1288" width="11.140625" style="30" bestFit="1" customWidth="1"/>
    <col min="1289" max="1536" width="9.140625" style="30"/>
    <col min="1537" max="1537" width="31" style="30" bestFit="1" customWidth="1"/>
    <col min="1538" max="1540" width="12.42578125" style="30" bestFit="1" customWidth="1"/>
    <col min="1541" max="1541" width="13.42578125" style="30" bestFit="1" customWidth="1"/>
    <col min="1542" max="1542" width="9.140625" style="30"/>
    <col min="1543" max="1543" width="13.42578125" style="30" bestFit="1" customWidth="1"/>
    <col min="1544" max="1544" width="11.140625" style="30" bestFit="1" customWidth="1"/>
    <col min="1545" max="1792" width="9.140625" style="30"/>
    <col min="1793" max="1793" width="31" style="30" bestFit="1" customWidth="1"/>
    <col min="1794" max="1796" width="12.42578125" style="30" bestFit="1" customWidth="1"/>
    <col min="1797" max="1797" width="13.42578125" style="30" bestFit="1" customWidth="1"/>
    <col min="1798" max="1798" width="9.140625" style="30"/>
    <col min="1799" max="1799" width="13.42578125" style="30" bestFit="1" customWidth="1"/>
    <col min="1800" max="1800" width="11.140625" style="30" bestFit="1" customWidth="1"/>
    <col min="1801" max="2048" width="9.140625" style="30"/>
    <col min="2049" max="2049" width="31" style="30" bestFit="1" customWidth="1"/>
    <col min="2050" max="2052" width="12.42578125" style="30" bestFit="1" customWidth="1"/>
    <col min="2053" max="2053" width="13.42578125" style="30" bestFit="1" customWidth="1"/>
    <col min="2054" max="2054" width="9.140625" style="30"/>
    <col min="2055" max="2055" width="13.42578125" style="30" bestFit="1" customWidth="1"/>
    <col min="2056" max="2056" width="11.140625" style="30" bestFit="1" customWidth="1"/>
    <col min="2057" max="2304" width="9.140625" style="30"/>
    <col min="2305" max="2305" width="31" style="30" bestFit="1" customWidth="1"/>
    <col min="2306" max="2308" width="12.42578125" style="30" bestFit="1" customWidth="1"/>
    <col min="2309" max="2309" width="13.42578125" style="30" bestFit="1" customWidth="1"/>
    <col min="2310" max="2310" width="9.140625" style="30"/>
    <col min="2311" max="2311" width="13.42578125" style="30" bestFit="1" customWidth="1"/>
    <col min="2312" max="2312" width="11.140625" style="30" bestFit="1" customWidth="1"/>
    <col min="2313" max="2560" width="9.140625" style="30"/>
    <col min="2561" max="2561" width="31" style="30" bestFit="1" customWidth="1"/>
    <col min="2562" max="2564" width="12.42578125" style="30" bestFit="1" customWidth="1"/>
    <col min="2565" max="2565" width="13.42578125" style="30" bestFit="1" customWidth="1"/>
    <col min="2566" max="2566" width="9.140625" style="30"/>
    <col min="2567" max="2567" width="13.42578125" style="30" bestFit="1" customWidth="1"/>
    <col min="2568" max="2568" width="11.140625" style="30" bestFit="1" customWidth="1"/>
    <col min="2569" max="2816" width="9.140625" style="30"/>
    <col min="2817" max="2817" width="31" style="30" bestFit="1" customWidth="1"/>
    <col min="2818" max="2820" width="12.42578125" style="30" bestFit="1" customWidth="1"/>
    <col min="2821" max="2821" width="13.42578125" style="30" bestFit="1" customWidth="1"/>
    <col min="2822" max="2822" width="9.140625" style="30"/>
    <col min="2823" max="2823" width="13.42578125" style="30" bestFit="1" customWidth="1"/>
    <col min="2824" max="2824" width="11.140625" style="30" bestFit="1" customWidth="1"/>
    <col min="2825" max="3072" width="9.140625" style="30"/>
    <col min="3073" max="3073" width="31" style="30" bestFit="1" customWidth="1"/>
    <col min="3074" max="3076" width="12.42578125" style="30" bestFit="1" customWidth="1"/>
    <col min="3077" max="3077" width="13.42578125" style="30" bestFit="1" customWidth="1"/>
    <col min="3078" max="3078" width="9.140625" style="30"/>
    <col min="3079" max="3079" width="13.42578125" style="30" bestFit="1" customWidth="1"/>
    <col min="3080" max="3080" width="11.140625" style="30" bestFit="1" customWidth="1"/>
    <col min="3081" max="3328" width="9.140625" style="30"/>
    <col min="3329" max="3329" width="31" style="30" bestFit="1" customWidth="1"/>
    <col min="3330" max="3332" width="12.42578125" style="30" bestFit="1" customWidth="1"/>
    <col min="3333" max="3333" width="13.42578125" style="30" bestFit="1" customWidth="1"/>
    <col min="3334" max="3334" width="9.140625" style="30"/>
    <col min="3335" max="3335" width="13.42578125" style="30" bestFit="1" customWidth="1"/>
    <col min="3336" max="3336" width="11.140625" style="30" bestFit="1" customWidth="1"/>
    <col min="3337" max="3584" width="9.140625" style="30"/>
    <col min="3585" max="3585" width="31" style="30" bestFit="1" customWidth="1"/>
    <col min="3586" max="3588" width="12.42578125" style="30" bestFit="1" customWidth="1"/>
    <col min="3589" max="3589" width="13.42578125" style="30" bestFit="1" customWidth="1"/>
    <col min="3590" max="3590" width="9.140625" style="30"/>
    <col min="3591" max="3591" width="13.42578125" style="30" bestFit="1" customWidth="1"/>
    <col min="3592" max="3592" width="11.140625" style="30" bestFit="1" customWidth="1"/>
    <col min="3593" max="3840" width="9.140625" style="30"/>
    <col min="3841" max="3841" width="31" style="30" bestFit="1" customWidth="1"/>
    <col min="3842" max="3844" width="12.42578125" style="30" bestFit="1" customWidth="1"/>
    <col min="3845" max="3845" width="13.42578125" style="30" bestFit="1" customWidth="1"/>
    <col min="3846" max="3846" width="9.140625" style="30"/>
    <col min="3847" max="3847" width="13.42578125" style="30" bestFit="1" customWidth="1"/>
    <col min="3848" max="3848" width="11.140625" style="30" bestFit="1" customWidth="1"/>
    <col min="3849" max="4096" width="9.140625" style="30"/>
    <col min="4097" max="4097" width="31" style="30" bestFit="1" customWidth="1"/>
    <col min="4098" max="4100" width="12.42578125" style="30" bestFit="1" customWidth="1"/>
    <col min="4101" max="4101" width="13.42578125" style="30" bestFit="1" customWidth="1"/>
    <col min="4102" max="4102" width="9.140625" style="30"/>
    <col min="4103" max="4103" width="13.42578125" style="30" bestFit="1" customWidth="1"/>
    <col min="4104" max="4104" width="11.140625" style="30" bestFit="1" customWidth="1"/>
    <col min="4105" max="4352" width="9.140625" style="30"/>
    <col min="4353" max="4353" width="31" style="30" bestFit="1" customWidth="1"/>
    <col min="4354" max="4356" width="12.42578125" style="30" bestFit="1" customWidth="1"/>
    <col min="4357" max="4357" width="13.42578125" style="30" bestFit="1" customWidth="1"/>
    <col min="4358" max="4358" width="9.140625" style="30"/>
    <col min="4359" max="4359" width="13.42578125" style="30" bestFit="1" customWidth="1"/>
    <col min="4360" max="4360" width="11.140625" style="30" bestFit="1" customWidth="1"/>
    <col min="4361" max="4608" width="9.140625" style="30"/>
    <col min="4609" max="4609" width="31" style="30" bestFit="1" customWidth="1"/>
    <col min="4610" max="4612" width="12.42578125" style="30" bestFit="1" customWidth="1"/>
    <col min="4613" max="4613" width="13.42578125" style="30" bestFit="1" customWidth="1"/>
    <col min="4614" max="4614" width="9.140625" style="30"/>
    <col min="4615" max="4615" width="13.42578125" style="30" bestFit="1" customWidth="1"/>
    <col min="4616" max="4616" width="11.140625" style="30" bestFit="1" customWidth="1"/>
    <col min="4617" max="4864" width="9.140625" style="30"/>
    <col min="4865" max="4865" width="31" style="30" bestFit="1" customWidth="1"/>
    <col min="4866" max="4868" width="12.42578125" style="30" bestFit="1" customWidth="1"/>
    <col min="4869" max="4869" width="13.42578125" style="30" bestFit="1" customWidth="1"/>
    <col min="4870" max="4870" width="9.140625" style="30"/>
    <col min="4871" max="4871" width="13.42578125" style="30" bestFit="1" customWidth="1"/>
    <col min="4872" max="4872" width="11.140625" style="30" bestFit="1" customWidth="1"/>
    <col min="4873" max="5120" width="9.140625" style="30"/>
    <col min="5121" max="5121" width="31" style="30" bestFit="1" customWidth="1"/>
    <col min="5122" max="5124" width="12.42578125" style="30" bestFit="1" customWidth="1"/>
    <col min="5125" max="5125" width="13.42578125" style="30" bestFit="1" customWidth="1"/>
    <col min="5126" max="5126" width="9.140625" style="30"/>
    <col min="5127" max="5127" width="13.42578125" style="30" bestFit="1" customWidth="1"/>
    <col min="5128" max="5128" width="11.140625" style="30" bestFit="1" customWidth="1"/>
    <col min="5129" max="5376" width="9.140625" style="30"/>
    <col min="5377" max="5377" width="31" style="30" bestFit="1" customWidth="1"/>
    <col min="5378" max="5380" width="12.42578125" style="30" bestFit="1" customWidth="1"/>
    <col min="5381" max="5381" width="13.42578125" style="30" bestFit="1" customWidth="1"/>
    <col min="5382" max="5382" width="9.140625" style="30"/>
    <col min="5383" max="5383" width="13.42578125" style="30" bestFit="1" customWidth="1"/>
    <col min="5384" max="5384" width="11.140625" style="30" bestFit="1" customWidth="1"/>
    <col min="5385" max="5632" width="9.140625" style="30"/>
    <col min="5633" max="5633" width="31" style="30" bestFit="1" customWidth="1"/>
    <col min="5634" max="5636" width="12.42578125" style="30" bestFit="1" customWidth="1"/>
    <col min="5637" max="5637" width="13.42578125" style="30" bestFit="1" customWidth="1"/>
    <col min="5638" max="5638" width="9.140625" style="30"/>
    <col min="5639" max="5639" width="13.42578125" style="30" bestFit="1" customWidth="1"/>
    <col min="5640" max="5640" width="11.140625" style="30" bestFit="1" customWidth="1"/>
    <col min="5641" max="5888" width="9.140625" style="30"/>
    <col min="5889" max="5889" width="31" style="30" bestFit="1" customWidth="1"/>
    <col min="5890" max="5892" width="12.42578125" style="30" bestFit="1" customWidth="1"/>
    <col min="5893" max="5893" width="13.42578125" style="30" bestFit="1" customWidth="1"/>
    <col min="5894" max="5894" width="9.140625" style="30"/>
    <col min="5895" max="5895" width="13.42578125" style="30" bestFit="1" customWidth="1"/>
    <col min="5896" max="5896" width="11.140625" style="30" bestFit="1" customWidth="1"/>
    <col min="5897" max="6144" width="9.140625" style="30"/>
    <col min="6145" max="6145" width="31" style="30" bestFit="1" customWidth="1"/>
    <col min="6146" max="6148" width="12.42578125" style="30" bestFit="1" customWidth="1"/>
    <col min="6149" max="6149" width="13.42578125" style="30" bestFit="1" customWidth="1"/>
    <col min="6150" max="6150" width="9.140625" style="30"/>
    <col min="6151" max="6151" width="13.42578125" style="30" bestFit="1" customWidth="1"/>
    <col min="6152" max="6152" width="11.140625" style="30" bestFit="1" customWidth="1"/>
    <col min="6153" max="6400" width="9.140625" style="30"/>
    <col min="6401" max="6401" width="31" style="30" bestFit="1" customWidth="1"/>
    <col min="6402" max="6404" width="12.42578125" style="30" bestFit="1" customWidth="1"/>
    <col min="6405" max="6405" width="13.42578125" style="30" bestFit="1" customWidth="1"/>
    <col min="6406" max="6406" width="9.140625" style="30"/>
    <col min="6407" max="6407" width="13.42578125" style="30" bestFit="1" customWidth="1"/>
    <col min="6408" max="6408" width="11.140625" style="30" bestFit="1" customWidth="1"/>
    <col min="6409" max="6656" width="9.140625" style="30"/>
    <col min="6657" max="6657" width="31" style="30" bestFit="1" customWidth="1"/>
    <col min="6658" max="6660" width="12.42578125" style="30" bestFit="1" customWidth="1"/>
    <col min="6661" max="6661" width="13.42578125" style="30" bestFit="1" customWidth="1"/>
    <col min="6662" max="6662" width="9.140625" style="30"/>
    <col min="6663" max="6663" width="13.42578125" style="30" bestFit="1" customWidth="1"/>
    <col min="6664" max="6664" width="11.140625" style="30" bestFit="1" customWidth="1"/>
    <col min="6665" max="6912" width="9.140625" style="30"/>
    <col min="6913" max="6913" width="31" style="30" bestFit="1" customWidth="1"/>
    <col min="6914" max="6916" width="12.42578125" style="30" bestFit="1" customWidth="1"/>
    <col min="6917" max="6917" width="13.42578125" style="30" bestFit="1" customWidth="1"/>
    <col min="6918" max="6918" width="9.140625" style="30"/>
    <col min="6919" max="6919" width="13.42578125" style="30" bestFit="1" customWidth="1"/>
    <col min="6920" max="6920" width="11.140625" style="30" bestFit="1" customWidth="1"/>
    <col min="6921" max="7168" width="9.140625" style="30"/>
    <col min="7169" max="7169" width="31" style="30" bestFit="1" customWidth="1"/>
    <col min="7170" max="7172" width="12.42578125" style="30" bestFit="1" customWidth="1"/>
    <col min="7173" max="7173" width="13.42578125" style="30" bestFit="1" customWidth="1"/>
    <col min="7174" max="7174" width="9.140625" style="30"/>
    <col min="7175" max="7175" width="13.42578125" style="30" bestFit="1" customWidth="1"/>
    <col min="7176" max="7176" width="11.140625" style="30" bestFit="1" customWidth="1"/>
    <col min="7177" max="7424" width="9.140625" style="30"/>
    <col min="7425" max="7425" width="31" style="30" bestFit="1" customWidth="1"/>
    <col min="7426" max="7428" width="12.42578125" style="30" bestFit="1" customWidth="1"/>
    <col min="7429" max="7429" width="13.42578125" style="30" bestFit="1" customWidth="1"/>
    <col min="7430" max="7430" width="9.140625" style="30"/>
    <col min="7431" max="7431" width="13.42578125" style="30" bestFit="1" customWidth="1"/>
    <col min="7432" max="7432" width="11.140625" style="30" bestFit="1" customWidth="1"/>
    <col min="7433" max="7680" width="9.140625" style="30"/>
    <col min="7681" max="7681" width="31" style="30" bestFit="1" customWidth="1"/>
    <col min="7682" max="7684" width="12.42578125" style="30" bestFit="1" customWidth="1"/>
    <col min="7685" max="7685" width="13.42578125" style="30" bestFit="1" customWidth="1"/>
    <col min="7686" max="7686" width="9.140625" style="30"/>
    <col min="7687" max="7687" width="13.42578125" style="30" bestFit="1" customWidth="1"/>
    <col min="7688" max="7688" width="11.140625" style="30" bestFit="1" customWidth="1"/>
    <col min="7689" max="7936" width="9.140625" style="30"/>
    <col min="7937" max="7937" width="31" style="30" bestFit="1" customWidth="1"/>
    <col min="7938" max="7940" width="12.42578125" style="30" bestFit="1" customWidth="1"/>
    <col min="7941" max="7941" width="13.42578125" style="30" bestFit="1" customWidth="1"/>
    <col min="7942" max="7942" width="9.140625" style="30"/>
    <col min="7943" max="7943" width="13.42578125" style="30" bestFit="1" customWidth="1"/>
    <col min="7944" max="7944" width="11.140625" style="30" bestFit="1" customWidth="1"/>
    <col min="7945" max="8192" width="9.140625" style="30"/>
    <col min="8193" max="8193" width="31" style="30" bestFit="1" customWidth="1"/>
    <col min="8194" max="8196" width="12.42578125" style="30" bestFit="1" customWidth="1"/>
    <col min="8197" max="8197" width="13.42578125" style="30" bestFit="1" customWidth="1"/>
    <col min="8198" max="8198" width="9.140625" style="30"/>
    <col min="8199" max="8199" width="13.42578125" style="30" bestFit="1" customWidth="1"/>
    <col min="8200" max="8200" width="11.140625" style="30" bestFit="1" customWidth="1"/>
    <col min="8201" max="8448" width="9.140625" style="30"/>
    <col min="8449" max="8449" width="31" style="30" bestFit="1" customWidth="1"/>
    <col min="8450" max="8452" width="12.42578125" style="30" bestFit="1" customWidth="1"/>
    <col min="8453" max="8453" width="13.42578125" style="30" bestFit="1" customWidth="1"/>
    <col min="8454" max="8454" width="9.140625" style="30"/>
    <col min="8455" max="8455" width="13.42578125" style="30" bestFit="1" customWidth="1"/>
    <col min="8456" max="8456" width="11.140625" style="30" bestFit="1" customWidth="1"/>
    <col min="8457" max="8704" width="9.140625" style="30"/>
    <col min="8705" max="8705" width="31" style="30" bestFit="1" customWidth="1"/>
    <col min="8706" max="8708" width="12.42578125" style="30" bestFit="1" customWidth="1"/>
    <col min="8709" max="8709" width="13.42578125" style="30" bestFit="1" customWidth="1"/>
    <col min="8710" max="8710" width="9.140625" style="30"/>
    <col min="8711" max="8711" width="13.42578125" style="30" bestFit="1" customWidth="1"/>
    <col min="8712" max="8712" width="11.140625" style="30" bestFit="1" customWidth="1"/>
    <col min="8713" max="8960" width="9.140625" style="30"/>
    <col min="8961" max="8961" width="31" style="30" bestFit="1" customWidth="1"/>
    <col min="8962" max="8964" width="12.42578125" style="30" bestFit="1" customWidth="1"/>
    <col min="8965" max="8965" width="13.42578125" style="30" bestFit="1" customWidth="1"/>
    <col min="8966" max="8966" width="9.140625" style="30"/>
    <col min="8967" max="8967" width="13.42578125" style="30" bestFit="1" customWidth="1"/>
    <col min="8968" max="8968" width="11.140625" style="30" bestFit="1" customWidth="1"/>
    <col min="8969" max="9216" width="9.140625" style="30"/>
    <col min="9217" max="9217" width="31" style="30" bestFit="1" customWidth="1"/>
    <col min="9218" max="9220" width="12.42578125" style="30" bestFit="1" customWidth="1"/>
    <col min="9221" max="9221" width="13.42578125" style="30" bestFit="1" customWidth="1"/>
    <col min="9222" max="9222" width="9.140625" style="30"/>
    <col min="9223" max="9223" width="13.42578125" style="30" bestFit="1" customWidth="1"/>
    <col min="9224" max="9224" width="11.140625" style="30" bestFit="1" customWidth="1"/>
    <col min="9225" max="9472" width="9.140625" style="30"/>
    <col min="9473" max="9473" width="31" style="30" bestFit="1" customWidth="1"/>
    <col min="9474" max="9476" width="12.42578125" style="30" bestFit="1" customWidth="1"/>
    <col min="9477" max="9477" width="13.42578125" style="30" bestFit="1" customWidth="1"/>
    <col min="9478" max="9478" width="9.140625" style="30"/>
    <col min="9479" max="9479" width="13.42578125" style="30" bestFit="1" customWidth="1"/>
    <col min="9480" max="9480" width="11.140625" style="30" bestFit="1" customWidth="1"/>
    <col min="9481" max="9728" width="9.140625" style="30"/>
    <col min="9729" max="9729" width="31" style="30" bestFit="1" customWidth="1"/>
    <col min="9730" max="9732" width="12.42578125" style="30" bestFit="1" customWidth="1"/>
    <col min="9733" max="9733" width="13.42578125" style="30" bestFit="1" customWidth="1"/>
    <col min="9734" max="9734" width="9.140625" style="30"/>
    <col min="9735" max="9735" width="13.42578125" style="30" bestFit="1" customWidth="1"/>
    <col min="9736" max="9736" width="11.140625" style="30" bestFit="1" customWidth="1"/>
    <col min="9737" max="9984" width="9.140625" style="30"/>
    <col min="9985" max="9985" width="31" style="30" bestFit="1" customWidth="1"/>
    <col min="9986" max="9988" width="12.42578125" style="30" bestFit="1" customWidth="1"/>
    <col min="9989" max="9989" width="13.42578125" style="30" bestFit="1" customWidth="1"/>
    <col min="9990" max="9990" width="9.140625" style="30"/>
    <col min="9991" max="9991" width="13.42578125" style="30" bestFit="1" customWidth="1"/>
    <col min="9992" max="9992" width="11.140625" style="30" bestFit="1" customWidth="1"/>
    <col min="9993" max="10240" width="9.140625" style="30"/>
    <col min="10241" max="10241" width="31" style="30" bestFit="1" customWidth="1"/>
    <col min="10242" max="10244" width="12.42578125" style="30" bestFit="1" customWidth="1"/>
    <col min="10245" max="10245" width="13.42578125" style="30" bestFit="1" customWidth="1"/>
    <col min="10246" max="10246" width="9.140625" style="30"/>
    <col min="10247" max="10247" width="13.42578125" style="30" bestFit="1" customWidth="1"/>
    <col min="10248" max="10248" width="11.140625" style="30" bestFit="1" customWidth="1"/>
    <col min="10249" max="10496" width="9.140625" style="30"/>
    <col min="10497" max="10497" width="31" style="30" bestFit="1" customWidth="1"/>
    <col min="10498" max="10500" width="12.42578125" style="30" bestFit="1" customWidth="1"/>
    <col min="10501" max="10501" width="13.42578125" style="30" bestFit="1" customWidth="1"/>
    <col min="10502" max="10502" width="9.140625" style="30"/>
    <col min="10503" max="10503" width="13.42578125" style="30" bestFit="1" customWidth="1"/>
    <col min="10504" max="10504" width="11.140625" style="30" bestFit="1" customWidth="1"/>
    <col min="10505" max="10752" width="9.140625" style="30"/>
    <col min="10753" max="10753" width="31" style="30" bestFit="1" customWidth="1"/>
    <col min="10754" max="10756" width="12.42578125" style="30" bestFit="1" customWidth="1"/>
    <col min="10757" max="10757" width="13.42578125" style="30" bestFit="1" customWidth="1"/>
    <col min="10758" max="10758" width="9.140625" style="30"/>
    <col min="10759" max="10759" width="13.42578125" style="30" bestFit="1" customWidth="1"/>
    <col min="10760" max="10760" width="11.140625" style="30" bestFit="1" customWidth="1"/>
    <col min="10761" max="11008" width="9.140625" style="30"/>
    <col min="11009" max="11009" width="31" style="30" bestFit="1" customWidth="1"/>
    <col min="11010" max="11012" width="12.42578125" style="30" bestFit="1" customWidth="1"/>
    <col min="11013" max="11013" width="13.42578125" style="30" bestFit="1" customWidth="1"/>
    <col min="11014" max="11014" width="9.140625" style="30"/>
    <col min="11015" max="11015" width="13.42578125" style="30" bestFit="1" customWidth="1"/>
    <col min="11016" max="11016" width="11.140625" style="30" bestFit="1" customWidth="1"/>
    <col min="11017" max="11264" width="9.140625" style="30"/>
    <col min="11265" max="11265" width="31" style="30" bestFit="1" customWidth="1"/>
    <col min="11266" max="11268" width="12.42578125" style="30" bestFit="1" customWidth="1"/>
    <col min="11269" max="11269" width="13.42578125" style="30" bestFit="1" customWidth="1"/>
    <col min="11270" max="11270" width="9.140625" style="30"/>
    <col min="11271" max="11271" width="13.42578125" style="30" bestFit="1" customWidth="1"/>
    <col min="11272" max="11272" width="11.140625" style="30" bestFit="1" customWidth="1"/>
    <col min="11273" max="11520" width="9.140625" style="30"/>
    <col min="11521" max="11521" width="31" style="30" bestFit="1" customWidth="1"/>
    <col min="11522" max="11524" width="12.42578125" style="30" bestFit="1" customWidth="1"/>
    <col min="11525" max="11525" width="13.42578125" style="30" bestFit="1" customWidth="1"/>
    <col min="11526" max="11526" width="9.140625" style="30"/>
    <col min="11527" max="11527" width="13.42578125" style="30" bestFit="1" customWidth="1"/>
    <col min="11528" max="11528" width="11.140625" style="30" bestFit="1" customWidth="1"/>
    <col min="11529" max="11776" width="9.140625" style="30"/>
    <col min="11777" max="11777" width="31" style="30" bestFit="1" customWidth="1"/>
    <col min="11778" max="11780" width="12.42578125" style="30" bestFit="1" customWidth="1"/>
    <col min="11781" max="11781" width="13.42578125" style="30" bestFit="1" customWidth="1"/>
    <col min="11782" max="11782" width="9.140625" style="30"/>
    <col min="11783" max="11783" width="13.42578125" style="30" bestFit="1" customWidth="1"/>
    <col min="11784" max="11784" width="11.140625" style="30" bestFit="1" customWidth="1"/>
    <col min="11785" max="12032" width="9.140625" style="30"/>
    <col min="12033" max="12033" width="31" style="30" bestFit="1" customWidth="1"/>
    <col min="12034" max="12036" width="12.42578125" style="30" bestFit="1" customWidth="1"/>
    <col min="12037" max="12037" width="13.42578125" style="30" bestFit="1" customWidth="1"/>
    <col min="12038" max="12038" width="9.140625" style="30"/>
    <col min="12039" max="12039" width="13.42578125" style="30" bestFit="1" customWidth="1"/>
    <col min="12040" max="12040" width="11.140625" style="30" bestFit="1" customWidth="1"/>
    <col min="12041" max="12288" width="9.140625" style="30"/>
    <col min="12289" max="12289" width="31" style="30" bestFit="1" customWidth="1"/>
    <col min="12290" max="12292" width="12.42578125" style="30" bestFit="1" customWidth="1"/>
    <col min="12293" max="12293" width="13.42578125" style="30" bestFit="1" customWidth="1"/>
    <col min="12294" max="12294" width="9.140625" style="30"/>
    <col min="12295" max="12295" width="13.42578125" style="30" bestFit="1" customWidth="1"/>
    <col min="12296" max="12296" width="11.140625" style="30" bestFit="1" customWidth="1"/>
    <col min="12297" max="12544" width="9.140625" style="30"/>
    <col min="12545" max="12545" width="31" style="30" bestFit="1" customWidth="1"/>
    <col min="12546" max="12548" width="12.42578125" style="30" bestFit="1" customWidth="1"/>
    <col min="12549" max="12549" width="13.42578125" style="30" bestFit="1" customWidth="1"/>
    <col min="12550" max="12550" width="9.140625" style="30"/>
    <col min="12551" max="12551" width="13.42578125" style="30" bestFit="1" customWidth="1"/>
    <col min="12552" max="12552" width="11.140625" style="30" bestFit="1" customWidth="1"/>
    <col min="12553" max="12800" width="9.140625" style="30"/>
    <col min="12801" max="12801" width="31" style="30" bestFit="1" customWidth="1"/>
    <col min="12802" max="12804" width="12.42578125" style="30" bestFit="1" customWidth="1"/>
    <col min="12805" max="12805" width="13.42578125" style="30" bestFit="1" customWidth="1"/>
    <col min="12806" max="12806" width="9.140625" style="30"/>
    <col min="12807" max="12807" width="13.42578125" style="30" bestFit="1" customWidth="1"/>
    <col min="12808" max="12808" width="11.140625" style="30" bestFit="1" customWidth="1"/>
    <col min="12809" max="13056" width="9.140625" style="30"/>
    <col min="13057" max="13057" width="31" style="30" bestFit="1" customWidth="1"/>
    <col min="13058" max="13060" width="12.42578125" style="30" bestFit="1" customWidth="1"/>
    <col min="13061" max="13061" width="13.42578125" style="30" bestFit="1" customWidth="1"/>
    <col min="13062" max="13062" width="9.140625" style="30"/>
    <col min="13063" max="13063" width="13.42578125" style="30" bestFit="1" customWidth="1"/>
    <col min="13064" max="13064" width="11.140625" style="30" bestFit="1" customWidth="1"/>
    <col min="13065" max="13312" width="9.140625" style="30"/>
    <col min="13313" max="13313" width="31" style="30" bestFit="1" customWidth="1"/>
    <col min="13314" max="13316" width="12.42578125" style="30" bestFit="1" customWidth="1"/>
    <col min="13317" max="13317" width="13.42578125" style="30" bestFit="1" customWidth="1"/>
    <col min="13318" max="13318" width="9.140625" style="30"/>
    <col min="13319" max="13319" width="13.42578125" style="30" bestFit="1" customWidth="1"/>
    <col min="13320" max="13320" width="11.140625" style="30" bestFit="1" customWidth="1"/>
    <col min="13321" max="13568" width="9.140625" style="30"/>
    <col min="13569" max="13569" width="31" style="30" bestFit="1" customWidth="1"/>
    <col min="13570" max="13572" width="12.42578125" style="30" bestFit="1" customWidth="1"/>
    <col min="13573" max="13573" width="13.42578125" style="30" bestFit="1" customWidth="1"/>
    <col min="13574" max="13574" width="9.140625" style="30"/>
    <col min="13575" max="13575" width="13.42578125" style="30" bestFit="1" customWidth="1"/>
    <col min="13576" max="13576" width="11.140625" style="30" bestFit="1" customWidth="1"/>
    <col min="13577" max="13824" width="9.140625" style="30"/>
    <col min="13825" max="13825" width="31" style="30" bestFit="1" customWidth="1"/>
    <col min="13826" max="13828" width="12.42578125" style="30" bestFit="1" customWidth="1"/>
    <col min="13829" max="13829" width="13.42578125" style="30" bestFit="1" customWidth="1"/>
    <col min="13830" max="13830" width="9.140625" style="30"/>
    <col min="13831" max="13831" width="13.42578125" style="30" bestFit="1" customWidth="1"/>
    <col min="13832" max="13832" width="11.140625" style="30" bestFit="1" customWidth="1"/>
    <col min="13833" max="14080" width="9.140625" style="30"/>
    <col min="14081" max="14081" width="31" style="30" bestFit="1" customWidth="1"/>
    <col min="14082" max="14084" width="12.42578125" style="30" bestFit="1" customWidth="1"/>
    <col min="14085" max="14085" width="13.42578125" style="30" bestFit="1" customWidth="1"/>
    <col min="14086" max="14086" width="9.140625" style="30"/>
    <col min="14087" max="14087" width="13.42578125" style="30" bestFit="1" customWidth="1"/>
    <col min="14088" max="14088" width="11.140625" style="30" bestFit="1" customWidth="1"/>
    <col min="14089" max="14336" width="9.140625" style="30"/>
    <col min="14337" max="14337" width="31" style="30" bestFit="1" customWidth="1"/>
    <col min="14338" max="14340" width="12.42578125" style="30" bestFit="1" customWidth="1"/>
    <col min="14341" max="14341" width="13.42578125" style="30" bestFit="1" customWidth="1"/>
    <col min="14342" max="14342" width="9.140625" style="30"/>
    <col min="14343" max="14343" width="13.42578125" style="30" bestFit="1" customWidth="1"/>
    <col min="14344" max="14344" width="11.140625" style="30" bestFit="1" customWidth="1"/>
    <col min="14345" max="14592" width="9.140625" style="30"/>
    <col min="14593" max="14593" width="31" style="30" bestFit="1" customWidth="1"/>
    <col min="14594" max="14596" width="12.42578125" style="30" bestFit="1" customWidth="1"/>
    <col min="14597" max="14597" width="13.42578125" style="30" bestFit="1" customWidth="1"/>
    <col min="14598" max="14598" width="9.140625" style="30"/>
    <col min="14599" max="14599" width="13.42578125" style="30" bestFit="1" customWidth="1"/>
    <col min="14600" max="14600" width="11.140625" style="30" bestFit="1" customWidth="1"/>
    <col min="14601" max="14848" width="9.140625" style="30"/>
    <col min="14849" max="14849" width="31" style="30" bestFit="1" customWidth="1"/>
    <col min="14850" max="14852" width="12.42578125" style="30" bestFit="1" customWidth="1"/>
    <col min="14853" max="14853" width="13.42578125" style="30" bestFit="1" customWidth="1"/>
    <col min="14854" max="14854" width="9.140625" style="30"/>
    <col min="14855" max="14855" width="13.42578125" style="30" bestFit="1" customWidth="1"/>
    <col min="14856" max="14856" width="11.140625" style="30" bestFit="1" customWidth="1"/>
    <col min="14857" max="15104" width="9.140625" style="30"/>
    <col min="15105" max="15105" width="31" style="30" bestFit="1" customWidth="1"/>
    <col min="15106" max="15108" width="12.42578125" style="30" bestFit="1" customWidth="1"/>
    <col min="15109" max="15109" width="13.42578125" style="30" bestFit="1" customWidth="1"/>
    <col min="15110" max="15110" width="9.140625" style="30"/>
    <col min="15111" max="15111" width="13.42578125" style="30" bestFit="1" customWidth="1"/>
    <col min="15112" max="15112" width="11.140625" style="30" bestFit="1" customWidth="1"/>
    <col min="15113" max="15360" width="9.140625" style="30"/>
    <col min="15361" max="15361" width="31" style="30" bestFit="1" customWidth="1"/>
    <col min="15362" max="15364" width="12.42578125" style="30" bestFit="1" customWidth="1"/>
    <col min="15365" max="15365" width="13.42578125" style="30" bestFit="1" customWidth="1"/>
    <col min="15366" max="15366" width="9.140625" style="30"/>
    <col min="15367" max="15367" width="13.42578125" style="30" bestFit="1" customWidth="1"/>
    <col min="15368" max="15368" width="11.140625" style="30" bestFit="1" customWidth="1"/>
    <col min="15369" max="15616" width="9.140625" style="30"/>
    <col min="15617" max="15617" width="31" style="30" bestFit="1" customWidth="1"/>
    <col min="15618" max="15620" width="12.42578125" style="30" bestFit="1" customWidth="1"/>
    <col min="15621" max="15621" width="13.42578125" style="30" bestFit="1" customWidth="1"/>
    <col min="15622" max="15622" width="9.140625" style="30"/>
    <col min="15623" max="15623" width="13.42578125" style="30" bestFit="1" customWidth="1"/>
    <col min="15624" max="15624" width="11.140625" style="30" bestFit="1" customWidth="1"/>
    <col min="15625" max="15872" width="9.140625" style="30"/>
    <col min="15873" max="15873" width="31" style="30" bestFit="1" customWidth="1"/>
    <col min="15874" max="15876" width="12.42578125" style="30" bestFit="1" customWidth="1"/>
    <col min="15877" max="15877" width="13.42578125" style="30" bestFit="1" customWidth="1"/>
    <col min="15878" max="15878" width="9.140625" style="30"/>
    <col min="15879" max="15879" width="13.42578125" style="30" bestFit="1" customWidth="1"/>
    <col min="15880" max="15880" width="11.140625" style="30" bestFit="1" customWidth="1"/>
    <col min="15881" max="16128" width="9.140625" style="30"/>
    <col min="16129" max="16129" width="31" style="30" bestFit="1" customWidth="1"/>
    <col min="16130" max="16132" width="12.42578125" style="30" bestFit="1" customWidth="1"/>
    <col min="16133" max="16133" width="13.42578125" style="30" bestFit="1" customWidth="1"/>
    <col min="16134" max="16134" width="9.140625" style="30"/>
    <col min="16135" max="16135" width="13.42578125" style="30" bestFit="1" customWidth="1"/>
    <col min="16136" max="16136" width="11.140625" style="30" bestFit="1" customWidth="1"/>
    <col min="16137" max="16384" width="9.140625" style="30"/>
  </cols>
  <sheetData>
    <row r="1" spans="1:8" ht="17.25" customHeight="1" x14ac:dyDescent="0.2">
      <c r="A1" s="425" t="s">
        <v>375</v>
      </c>
      <c r="B1" s="425"/>
      <c r="C1" s="425"/>
      <c r="D1" s="425"/>
      <c r="E1" s="425"/>
    </row>
    <row r="2" spans="1:8" ht="20.25" customHeight="1" x14ac:dyDescent="0.2">
      <c r="A2" s="426" t="s">
        <v>376</v>
      </c>
      <c r="B2" s="426"/>
      <c r="C2" s="426"/>
      <c r="D2" s="426"/>
      <c r="E2" s="426"/>
    </row>
    <row r="3" spans="1:8" ht="16.5" customHeight="1" x14ac:dyDescent="0.3">
      <c r="A3" s="427" t="s">
        <v>146</v>
      </c>
      <c r="B3" s="430" t="s">
        <v>377</v>
      </c>
      <c r="C3" s="433" t="s">
        <v>378</v>
      </c>
      <c r="D3" s="101" t="s">
        <v>379</v>
      </c>
      <c r="E3" s="433" t="s">
        <v>380</v>
      </c>
    </row>
    <row r="4" spans="1:8" ht="16.5" customHeight="1" x14ac:dyDescent="0.3">
      <c r="A4" s="428"/>
      <c r="B4" s="431"/>
      <c r="C4" s="434"/>
      <c r="D4" s="102" t="s">
        <v>381</v>
      </c>
      <c r="E4" s="434"/>
    </row>
    <row r="5" spans="1:8" ht="35.25" customHeight="1" x14ac:dyDescent="0.3">
      <c r="A5" s="428"/>
      <c r="B5" s="431"/>
      <c r="C5" s="434"/>
      <c r="D5" s="102" t="s">
        <v>21</v>
      </c>
      <c r="E5" s="434"/>
    </row>
    <row r="6" spans="1:8" ht="16.5" hidden="1" customHeight="1" x14ac:dyDescent="0.3">
      <c r="A6" s="429"/>
      <c r="B6" s="432"/>
      <c r="C6" s="435"/>
      <c r="D6" s="103"/>
      <c r="E6" s="435"/>
    </row>
    <row r="7" spans="1:8" ht="16.5" x14ac:dyDescent="0.25">
      <c r="A7" s="104"/>
      <c r="B7" s="105" t="s">
        <v>382</v>
      </c>
      <c r="C7" s="105" t="s">
        <v>382</v>
      </c>
      <c r="D7" s="105" t="s">
        <v>382</v>
      </c>
      <c r="E7" s="105" t="s">
        <v>382</v>
      </c>
    </row>
    <row r="8" spans="1:8" ht="20.100000000000001" customHeight="1" x14ac:dyDescent="0.2">
      <c r="A8" s="106" t="s">
        <v>383</v>
      </c>
      <c r="B8" s="107">
        <v>1540052</v>
      </c>
      <c r="C8" s="108">
        <v>543706</v>
      </c>
      <c r="D8" s="107">
        <v>1000000</v>
      </c>
      <c r="E8" s="107">
        <v>800000</v>
      </c>
      <c r="G8" s="31"/>
    </row>
    <row r="9" spans="1:8" ht="20.100000000000001" customHeight="1" x14ac:dyDescent="0.2">
      <c r="A9" s="106" t="s">
        <v>384</v>
      </c>
      <c r="B9" s="107">
        <v>381137</v>
      </c>
      <c r="C9" s="108"/>
      <c r="D9" s="107">
        <f>C9*2</f>
        <v>0</v>
      </c>
      <c r="E9" s="107">
        <v>1000000</v>
      </c>
      <c r="G9" s="31"/>
    </row>
    <row r="10" spans="1:8" ht="20.100000000000001" customHeight="1" x14ac:dyDescent="0.2">
      <c r="A10" s="106" t="s">
        <v>385</v>
      </c>
      <c r="B10" s="107">
        <v>387295</v>
      </c>
      <c r="C10" s="108">
        <v>169900</v>
      </c>
      <c r="D10" s="107">
        <v>350000</v>
      </c>
      <c r="E10" s="107">
        <v>450000</v>
      </c>
      <c r="G10" s="31"/>
    </row>
    <row r="11" spans="1:8" ht="20.100000000000001" customHeight="1" x14ac:dyDescent="0.2">
      <c r="A11" s="106" t="s">
        <v>386</v>
      </c>
      <c r="B11" s="107"/>
      <c r="C11" s="108"/>
      <c r="D11" s="107">
        <v>5000</v>
      </c>
      <c r="E11" s="107">
        <v>15000</v>
      </c>
      <c r="G11" s="31"/>
    </row>
    <row r="12" spans="1:8" ht="20.100000000000001" customHeight="1" x14ac:dyDescent="0.2">
      <c r="A12" s="106" t="s">
        <v>387</v>
      </c>
      <c r="B12" s="107">
        <v>15000</v>
      </c>
      <c r="C12" s="108">
        <v>16030</v>
      </c>
      <c r="D12" s="107">
        <v>20000</v>
      </c>
      <c r="E12" s="107">
        <v>15000</v>
      </c>
      <c r="G12" s="31"/>
    </row>
    <row r="13" spans="1:8" ht="20.100000000000001" customHeight="1" x14ac:dyDescent="0.2">
      <c r="A13" s="106" t="s">
        <v>388</v>
      </c>
      <c r="B13" s="107">
        <v>2962238</v>
      </c>
      <c r="C13" s="108">
        <v>1880751</v>
      </c>
      <c r="D13" s="107">
        <v>3335000</v>
      </c>
      <c r="E13" s="107">
        <v>3335000</v>
      </c>
      <c r="G13" s="31"/>
      <c r="H13" s="31"/>
    </row>
    <row r="14" spans="1:8" ht="20.100000000000001" customHeight="1" x14ac:dyDescent="0.2">
      <c r="A14" s="106" t="s">
        <v>389</v>
      </c>
      <c r="B14" s="107"/>
      <c r="C14" s="108"/>
      <c r="D14" s="107">
        <v>100000</v>
      </c>
      <c r="E14" s="107">
        <v>100000</v>
      </c>
      <c r="G14" s="31"/>
    </row>
    <row r="15" spans="1:8" ht="20.100000000000001" customHeight="1" x14ac:dyDescent="0.2">
      <c r="A15" s="106" t="s">
        <v>390</v>
      </c>
      <c r="B15" s="109"/>
      <c r="C15" s="107"/>
      <c r="D15" s="107">
        <v>100000</v>
      </c>
      <c r="E15" s="107">
        <v>100000</v>
      </c>
      <c r="G15" s="31"/>
    </row>
    <row r="16" spans="1:8" ht="20.100000000000001" customHeight="1" x14ac:dyDescent="0.2">
      <c r="A16" s="106" t="s">
        <v>391</v>
      </c>
      <c r="B16" s="107">
        <v>108802</v>
      </c>
      <c r="C16" s="108">
        <v>61300</v>
      </c>
      <c r="D16" s="107">
        <v>50000</v>
      </c>
      <c r="E16" s="107">
        <v>100000</v>
      </c>
      <c r="G16" s="31"/>
    </row>
    <row r="17" spans="1:9" ht="20.100000000000001" customHeight="1" x14ac:dyDescent="0.2">
      <c r="A17" s="106" t="s">
        <v>392</v>
      </c>
      <c r="B17" s="107">
        <v>415206</v>
      </c>
      <c r="C17" s="108">
        <v>204946</v>
      </c>
      <c r="D17" s="107">
        <v>500000</v>
      </c>
      <c r="E17" s="107">
        <v>500000</v>
      </c>
      <c r="G17" s="31"/>
    </row>
    <row r="18" spans="1:9" ht="20.100000000000001" customHeight="1" x14ac:dyDescent="0.2">
      <c r="A18" s="106" t="s">
        <v>393</v>
      </c>
      <c r="B18" s="107">
        <v>10190000</v>
      </c>
      <c r="C18" s="108">
        <v>2280000</v>
      </c>
      <c r="D18" s="107">
        <v>5000000</v>
      </c>
      <c r="E18" s="107">
        <v>5000000</v>
      </c>
      <c r="G18" s="31"/>
    </row>
    <row r="19" spans="1:9" ht="20.100000000000001" customHeight="1" x14ac:dyDescent="0.2">
      <c r="A19" s="106" t="s">
        <v>394</v>
      </c>
      <c r="B19" s="107">
        <v>4008769</v>
      </c>
      <c r="C19" s="107">
        <v>6318690</v>
      </c>
      <c r="D19" s="107">
        <v>4000000</v>
      </c>
      <c r="E19" s="107">
        <v>5000000</v>
      </c>
      <c r="G19" s="31"/>
    </row>
    <row r="20" spans="1:9" ht="20.100000000000001" customHeight="1" x14ac:dyDescent="0.2">
      <c r="A20" s="106" t="s">
        <v>395</v>
      </c>
      <c r="B20" s="107">
        <v>510378</v>
      </c>
      <c r="C20" s="108">
        <v>183750</v>
      </c>
      <c r="D20" s="107">
        <v>500000</v>
      </c>
      <c r="E20" s="107">
        <v>500000</v>
      </c>
      <c r="G20" s="31"/>
    </row>
    <row r="21" spans="1:9" ht="20.100000000000001" customHeight="1" x14ac:dyDescent="0.2">
      <c r="A21" s="106" t="s">
        <v>396</v>
      </c>
      <c r="B21" s="107">
        <v>1267215</v>
      </c>
      <c r="C21" s="108">
        <v>1237215</v>
      </c>
      <c r="D21" s="110">
        <v>1237215</v>
      </c>
      <c r="E21" s="110">
        <v>1600000</v>
      </c>
      <c r="G21" s="31"/>
    </row>
    <row r="22" spans="1:9" ht="20.100000000000001" customHeight="1" x14ac:dyDescent="0.2">
      <c r="A22" s="106" t="s">
        <v>397</v>
      </c>
      <c r="B22" s="107"/>
      <c r="C22" s="108"/>
      <c r="D22" s="107">
        <v>15000</v>
      </c>
      <c r="E22" s="107">
        <v>25000</v>
      </c>
      <c r="G22" s="31"/>
    </row>
    <row r="23" spans="1:9" ht="20.100000000000001" customHeight="1" x14ac:dyDescent="0.2">
      <c r="A23" s="106" t="s">
        <v>398</v>
      </c>
      <c r="B23" s="107">
        <v>49901</v>
      </c>
      <c r="C23" s="108"/>
      <c r="D23" s="107"/>
      <c r="E23" s="107"/>
      <c r="G23" s="31"/>
    </row>
    <row r="24" spans="1:9" ht="20.100000000000001" customHeight="1" x14ac:dyDescent="0.2">
      <c r="A24" s="106" t="s">
        <v>399</v>
      </c>
      <c r="B24" s="107"/>
      <c r="C24" s="108"/>
      <c r="D24" s="107">
        <v>400000</v>
      </c>
      <c r="E24" s="107">
        <v>800000</v>
      </c>
      <c r="G24" s="31"/>
    </row>
    <row r="25" spans="1:9" ht="20.100000000000001" customHeight="1" x14ac:dyDescent="0.2">
      <c r="A25" s="106" t="s">
        <v>400</v>
      </c>
      <c r="B25" s="107">
        <v>265500</v>
      </c>
      <c r="C25" s="110">
        <v>194700</v>
      </c>
      <c r="D25" s="107">
        <v>200000</v>
      </c>
      <c r="E25" s="107">
        <v>250000</v>
      </c>
      <c r="G25" s="31"/>
    </row>
    <row r="26" spans="1:9" ht="20.100000000000001" customHeight="1" x14ac:dyDescent="0.2">
      <c r="A26" s="106" t="s">
        <v>401</v>
      </c>
      <c r="B26" s="107"/>
      <c r="C26" s="110"/>
      <c r="D26" s="107"/>
      <c r="E26" s="107"/>
      <c r="G26" s="31"/>
    </row>
    <row r="27" spans="1:9" ht="20.100000000000001" customHeight="1" x14ac:dyDescent="0.2">
      <c r="A27" s="106" t="s">
        <v>402</v>
      </c>
      <c r="B27" s="107">
        <v>60000</v>
      </c>
      <c r="C27" s="108">
        <v>247000</v>
      </c>
      <c r="D27" s="107">
        <v>250000</v>
      </c>
      <c r="E27" s="107">
        <v>150000</v>
      </c>
      <c r="G27" s="31"/>
    </row>
    <row r="28" spans="1:9" ht="20.100000000000001" customHeight="1" x14ac:dyDescent="0.2">
      <c r="A28" s="106" t="s">
        <v>403</v>
      </c>
      <c r="B28" s="107">
        <v>647431</v>
      </c>
      <c r="C28" s="108">
        <v>440878</v>
      </c>
      <c r="D28" s="107">
        <v>756000</v>
      </c>
      <c r="E28" s="110">
        <v>1045000</v>
      </c>
      <c r="G28" s="31"/>
      <c r="I28" s="111"/>
    </row>
    <row r="29" spans="1:9" ht="20.100000000000001" customHeight="1" x14ac:dyDescent="0.2">
      <c r="A29" s="106" t="s">
        <v>404</v>
      </c>
      <c r="B29" s="107"/>
      <c r="C29" s="108"/>
      <c r="D29" s="107"/>
      <c r="E29" s="107"/>
      <c r="G29" s="31"/>
    </row>
    <row r="30" spans="1:9" ht="20.100000000000001" customHeight="1" x14ac:dyDescent="0.2">
      <c r="A30" s="106" t="s">
        <v>405</v>
      </c>
      <c r="B30" s="107">
        <v>1722635</v>
      </c>
      <c r="C30" s="108">
        <v>1091538</v>
      </c>
      <c r="D30" s="107">
        <f>C30*2</f>
        <v>2183076</v>
      </c>
      <c r="E30" s="107">
        <v>850000</v>
      </c>
    </row>
    <row r="31" spans="1:9" ht="20.100000000000001" customHeight="1" x14ac:dyDescent="0.2">
      <c r="A31" s="106" t="s">
        <v>406</v>
      </c>
      <c r="B31" s="107">
        <v>83256</v>
      </c>
      <c r="C31" s="107">
        <v>49340</v>
      </c>
      <c r="D31" s="107">
        <f>C31*2</f>
        <v>98680</v>
      </c>
      <c r="E31" s="107">
        <v>150000</v>
      </c>
    </row>
    <row r="32" spans="1:9" ht="20.100000000000001" customHeight="1" x14ac:dyDescent="0.2">
      <c r="A32" s="106" t="s">
        <v>407</v>
      </c>
      <c r="B32" s="107">
        <v>385192.05</v>
      </c>
      <c r="C32" s="107"/>
      <c r="D32" s="107">
        <v>5000</v>
      </c>
      <c r="E32" s="107">
        <v>10000</v>
      </c>
    </row>
    <row r="33" spans="1:8" ht="20.100000000000001" customHeight="1" x14ac:dyDescent="0.2">
      <c r="A33" s="106" t="s">
        <v>408</v>
      </c>
      <c r="B33" s="107"/>
      <c r="C33" s="107"/>
      <c r="D33" s="107"/>
      <c r="E33" s="107"/>
    </row>
    <row r="34" spans="1:8" ht="20.100000000000001" customHeight="1" x14ac:dyDescent="0.2">
      <c r="A34" s="106" t="s">
        <v>409</v>
      </c>
      <c r="B34" s="107"/>
      <c r="C34" s="107"/>
      <c r="D34" s="107">
        <v>225000</v>
      </c>
      <c r="E34" s="107">
        <v>250000</v>
      </c>
    </row>
    <row r="35" spans="1:8" ht="20.100000000000001" customHeight="1" x14ac:dyDescent="0.2">
      <c r="A35" s="106" t="s">
        <v>410</v>
      </c>
      <c r="B35" s="107">
        <v>37016</v>
      </c>
      <c r="C35" s="107"/>
      <c r="D35" s="107"/>
      <c r="E35" s="107"/>
    </row>
    <row r="36" spans="1:8" ht="20.100000000000001" customHeight="1" x14ac:dyDescent="0.2">
      <c r="A36" s="106" t="s">
        <v>411</v>
      </c>
      <c r="B36" s="107">
        <v>288697</v>
      </c>
      <c r="C36" s="107">
        <v>173912</v>
      </c>
      <c r="D36" s="107">
        <v>300000</v>
      </c>
      <c r="E36" s="107">
        <v>300000</v>
      </c>
      <c r="G36" s="31"/>
    </row>
    <row r="37" spans="1:8" ht="20.100000000000001" customHeight="1" x14ac:dyDescent="0.2">
      <c r="A37" s="106" t="s">
        <v>412</v>
      </c>
      <c r="B37" s="107"/>
      <c r="C37" s="107"/>
      <c r="D37" s="107"/>
      <c r="E37" s="107"/>
      <c r="G37" s="31"/>
    </row>
    <row r="38" spans="1:8" ht="20.100000000000001" customHeight="1" x14ac:dyDescent="0.2">
      <c r="A38" s="106" t="s">
        <v>413</v>
      </c>
      <c r="B38" s="112"/>
      <c r="C38" s="107"/>
      <c r="D38" s="112"/>
      <c r="E38" s="107"/>
    </row>
    <row r="39" spans="1:8" ht="20.100000000000001" customHeight="1" x14ac:dyDescent="0.2">
      <c r="A39" s="106" t="s">
        <v>414</v>
      </c>
      <c r="B39" s="107"/>
      <c r="C39" s="107"/>
      <c r="D39" s="107">
        <v>700000</v>
      </c>
      <c r="E39" s="107">
        <v>1000000</v>
      </c>
    </row>
    <row r="40" spans="1:8" ht="20.100000000000001" customHeight="1" x14ac:dyDescent="0.2">
      <c r="A40" s="113" t="s">
        <v>415</v>
      </c>
      <c r="B40" s="114">
        <f>SUM(B8:B39)</f>
        <v>25325720.050000001</v>
      </c>
      <c r="C40" s="114">
        <f>SUM(C8:C39)</f>
        <v>15093656</v>
      </c>
      <c r="D40" s="114">
        <f>SUM(D8:D39)</f>
        <v>21329971</v>
      </c>
      <c r="E40" s="115">
        <f>SUM(E8:E39)</f>
        <v>23345000</v>
      </c>
    </row>
    <row r="41" spans="1:8" ht="13.5" x14ac:dyDescent="0.2">
      <c r="A41" s="116"/>
      <c r="B41" s="117"/>
      <c r="C41" s="117"/>
      <c r="D41" s="117"/>
      <c r="E41" s="118"/>
    </row>
    <row r="42" spans="1:8" ht="13.5" x14ac:dyDescent="0.2">
      <c r="A42" s="116"/>
      <c r="B42" s="117"/>
      <c r="C42" s="117"/>
      <c r="D42" s="117"/>
      <c r="E42" s="118"/>
    </row>
    <row r="43" spans="1:8" ht="20.100000000000001" customHeight="1" x14ac:dyDescent="0.2">
      <c r="A43" s="119" t="s">
        <v>416</v>
      </c>
      <c r="B43" s="107">
        <v>5000</v>
      </c>
      <c r="C43" s="107">
        <v>115500</v>
      </c>
      <c r="D43" s="107">
        <v>300000</v>
      </c>
      <c r="E43" s="120">
        <v>300000</v>
      </c>
    </row>
    <row r="44" spans="1:8" ht="20.100000000000001" customHeight="1" x14ac:dyDescent="0.2">
      <c r="A44" s="119" t="s">
        <v>417</v>
      </c>
      <c r="B44" s="107">
        <v>1529550</v>
      </c>
      <c r="C44" s="107">
        <v>849500</v>
      </c>
      <c r="D44" s="107">
        <v>1020000</v>
      </c>
      <c r="E44" s="120">
        <v>1020000</v>
      </c>
    </row>
    <row r="45" spans="1:8" ht="20.100000000000001" customHeight="1" x14ac:dyDescent="0.2">
      <c r="A45" s="121" t="s">
        <v>418</v>
      </c>
      <c r="B45" s="114">
        <f>B44+B43</f>
        <v>1534550</v>
      </c>
      <c r="C45" s="114">
        <f>C44+C43</f>
        <v>965000</v>
      </c>
      <c r="D45" s="114">
        <f>D44+D43</f>
        <v>1320000</v>
      </c>
      <c r="E45" s="115">
        <f>E44+E43</f>
        <v>1320000</v>
      </c>
    </row>
    <row r="46" spans="1:8" ht="20.100000000000001" customHeight="1" x14ac:dyDescent="0.2">
      <c r="A46" s="119" t="s">
        <v>419</v>
      </c>
      <c r="B46" s="107"/>
      <c r="C46" s="107"/>
      <c r="D46" s="107">
        <f>C46*2</f>
        <v>0</v>
      </c>
      <c r="E46" s="120"/>
    </row>
    <row r="47" spans="1:8" ht="13.5" customHeight="1" x14ac:dyDescent="0.2">
      <c r="A47" s="119" t="s">
        <v>420</v>
      </c>
      <c r="B47" s="107"/>
      <c r="C47" s="107">
        <v>16366584</v>
      </c>
      <c r="D47" s="107">
        <v>26799569</v>
      </c>
      <c r="E47" s="120">
        <v>26799569</v>
      </c>
      <c r="G47" s="39"/>
    </row>
    <row r="48" spans="1:8" ht="20.100000000000001" customHeight="1" x14ac:dyDescent="0.2">
      <c r="A48" s="119" t="s">
        <v>421</v>
      </c>
      <c r="B48" s="107">
        <v>6152679.9500000002</v>
      </c>
      <c r="C48" s="107">
        <v>1166814</v>
      </c>
      <c r="D48" s="107">
        <v>1425000</v>
      </c>
      <c r="E48" s="120"/>
      <c r="G48" s="31"/>
      <c r="H48" s="31"/>
    </row>
    <row r="49" spans="1:7" ht="15" customHeight="1" x14ac:dyDescent="0.2">
      <c r="A49" s="121" t="s">
        <v>422</v>
      </c>
      <c r="B49" s="114">
        <f>B48</f>
        <v>6152679.9500000002</v>
      </c>
      <c r="C49" s="114">
        <f>SUM(C46:C48)</f>
        <v>17533398</v>
      </c>
      <c r="D49" s="114">
        <f>SUM(D46:D48)</f>
        <v>28224569</v>
      </c>
      <c r="E49" s="114">
        <f>SUM(E46:E48)</f>
        <v>26799569</v>
      </c>
      <c r="G49" s="31"/>
    </row>
    <row r="50" spans="1:7" ht="20.100000000000001" customHeight="1" x14ac:dyDescent="0.2">
      <c r="A50" s="119" t="s">
        <v>423</v>
      </c>
      <c r="B50" s="109">
        <v>5235136</v>
      </c>
      <c r="C50" s="107"/>
      <c r="D50" s="109">
        <v>5645569</v>
      </c>
      <c r="E50" s="109">
        <v>5907000</v>
      </c>
    </row>
    <row r="51" spans="1:7" ht="16.5" x14ac:dyDescent="0.2">
      <c r="A51" s="119" t="s">
        <v>424</v>
      </c>
      <c r="B51" s="107">
        <v>49926</v>
      </c>
      <c r="C51" s="122"/>
      <c r="D51" s="107">
        <v>600000</v>
      </c>
      <c r="E51" s="107">
        <v>800000</v>
      </c>
    </row>
    <row r="52" spans="1:7" x14ac:dyDescent="0.2">
      <c r="B52" s="117"/>
      <c r="C52" s="117"/>
      <c r="D52" s="117"/>
      <c r="E52" s="117"/>
    </row>
    <row r="53" spans="1:7" x14ac:dyDescent="0.2">
      <c r="A53" s="32" t="s">
        <v>341</v>
      </c>
      <c r="B53" s="123">
        <f>B51+B50+B49+B45+B40</f>
        <v>38298012</v>
      </c>
      <c r="C53" s="123">
        <f>C51+C50+C49+C45+C40</f>
        <v>33592054</v>
      </c>
      <c r="D53" s="123">
        <f>D51+D50+D49+D45+D40</f>
        <v>57120109</v>
      </c>
      <c r="E53" s="123">
        <f>E51+E50+E49+E45+E40</f>
        <v>58171569</v>
      </c>
    </row>
    <row r="54" spans="1:7" x14ac:dyDescent="0.2">
      <c r="B54" s="124">
        <f>B53-B40</f>
        <v>12972291.949999999</v>
      </c>
      <c r="C54" s="117"/>
      <c r="D54" s="125">
        <f>D53-D40</f>
        <v>35790138</v>
      </c>
      <c r="E54" s="125">
        <f>E53-E40</f>
        <v>34826569</v>
      </c>
    </row>
    <row r="55" spans="1:7" x14ac:dyDescent="0.2">
      <c r="B55" s="31"/>
      <c r="C55" s="31"/>
    </row>
    <row r="56" spans="1:7" x14ac:dyDescent="0.2">
      <c r="B56" s="39"/>
    </row>
    <row r="57" spans="1:7" x14ac:dyDescent="0.2">
      <c r="B57" s="31"/>
    </row>
    <row r="58" spans="1:7" x14ac:dyDescent="0.2">
      <c r="B58" s="31"/>
      <c r="C58" s="111"/>
      <c r="D58" s="41"/>
    </row>
    <row r="60" spans="1:7" x14ac:dyDescent="0.2">
      <c r="B60" s="39"/>
      <c r="C60" s="31"/>
    </row>
  </sheetData>
  <mergeCells count="6">
    <mergeCell ref="A1:E1"/>
    <mergeCell ref="A2:E2"/>
    <mergeCell ref="A3:A6"/>
    <mergeCell ref="B3:B6"/>
    <mergeCell ref="C3:C6"/>
    <mergeCell ref="E3:E6"/>
  </mergeCells>
  <printOptions horizontalCentered="1"/>
  <pageMargins left="0.74803149606299213" right="0.74803149606299213" top="0.31496062992125984" bottom="0.3149606299212598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70BA1-C798-4FC3-A7A6-48C9E8C65AC9}">
  <dimension ref="A1:F101"/>
  <sheetViews>
    <sheetView workbookViewId="0">
      <selection activeCell="D17" sqref="D17"/>
    </sheetView>
  </sheetViews>
  <sheetFormatPr defaultRowHeight="15" x14ac:dyDescent="0.2"/>
  <cols>
    <col min="1" max="1" width="56.5703125" style="276" customWidth="1"/>
    <col min="2" max="2" width="19.28515625" style="276" customWidth="1"/>
    <col min="3" max="3" width="17.7109375" style="276" customWidth="1"/>
    <col min="4" max="4" width="15.140625" style="276" customWidth="1"/>
    <col min="5" max="5" width="14.5703125" style="276" bestFit="1" customWidth="1"/>
    <col min="6" max="6" width="11.85546875" style="276" bestFit="1" customWidth="1"/>
    <col min="7" max="256" width="9.140625" style="276"/>
    <col min="257" max="257" width="38" style="276" customWidth="1"/>
    <col min="258" max="258" width="14.85546875" style="276" bestFit="1" customWidth="1"/>
    <col min="259" max="259" width="14" style="276" bestFit="1" customWidth="1"/>
    <col min="260" max="260" width="14.85546875" style="276" customWidth="1"/>
    <col min="261" max="261" width="14" style="276" bestFit="1" customWidth="1"/>
    <col min="262" max="262" width="11.85546875" style="276" bestFit="1" customWidth="1"/>
    <col min="263" max="512" width="9.140625" style="276"/>
    <col min="513" max="513" width="38" style="276" customWidth="1"/>
    <col min="514" max="514" width="14.85546875" style="276" bestFit="1" customWidth="1"/>
    <col min="515" max="515" width="14" style="276" bestFit="1" customWidth="1"/>
    <col min="516" max="516" width="14.85546875" style="276" customWidth="1"/>
    <col min="517" max="517" width="14" style="276" bestFit="1" customWidth="1"/>
    <col min="518" max="518" width="11.85546875" style="276" bestFit="1" customWidth="1"/>
    <col min="519" max="768" width="9.140625" style="276"/>
    <col min="769" max="769" width="38" style="276" customWidth="1"/>
    <col min="770" max="770" width="14.85546875" style="276" bestFit="1" customWidth="1"/>
    <col min="771" max="771" width="14" style="276" bestFit="1" customWidth="1"/>
    <col min="772" max="772" width="14.85546875" style="276" customWidth="1"/>
    <col min="773" max="773" width="14" style="276" bestFit="1" customWidth="1"/>
    <col min="774" max="774" width="11.85546875" style="276" bestFit="1" customWidth="1"/>
    <col min="775" max="1024" width="9.140625" style="276"/>
    <col min="1025" max="1025" width="38" style="276" customWidth="1"/>
    <col min="1026" max="1026" width="14.85546875" style="276" bestFit="1" customWidth="1"/>
    <col min="1027" max="1027" width="14" style="276" bestFit="1" customWidth="1"/>
    <col min="1028" max="1028" width="14.85546875" style="276" customWidth="1"/>
    <col min="1029" max="1029" width="14" style="276" bestFit="1" customWidth="1"/>
    <col min="1030" max="1030" width="11.85546875" style="276" bestFit="1" customWidth="1"/>
    <col min="1031" max="1280" width="9.140625" style="276"/>
    <col min="1281" max="1281" width="38" style="276" customWidth="1"/>
    <col min="1282" max="1282" width="14.85546875" style="276" bestFit="1" customWidth="1"/>
    <col min="1283" max="1283" width="14" style="276" bestFit="1" customWidth="1"/>
    <col min="1284" max="1284" width="14.85546875" style="276" customWidth="1"/>
    <col min="1285" max="1285" width="14" style="276" bestFit="1" customWidth="1"/>
    <col min="1286" max="1286" width="11.85546875" style="276" bestFit="1" customWidth="1"/>
    <col min="1287" max="1536" width="9.140625" style="276"/>
    <col min="1537" max="1537" width="38" style="276" customWidth="1"/>
    <col min="1538" max="1538" width="14.85546875" style="276" bestFit="1" customWidth="1"/>
    <col min="1539" max="1539" width="14" style="276" bestFit="1" customWidth="1"/>
    <col min="1540" max="1540" width="14.85546875" style="276" customWidth="1"/>
    <col min="1541" max="1541" width="14" style="276" bestFit="1" customWidth="1"/>
    <col min="1542" max="1542" width="11.85546875" style="276" bestFit="1" customWidth="1"/>
    <col min="1543" max="1792" width="9.140625" style="276"/>
    <col min="1793" max="1793" width="38" style="276" customWidth="1"/>
    <col min="1794" max="1794" width="14.85546875" style="276" bestFit="1" customWidth="1"/>
    <col min="1795" max="1795" width="14" style="276" bestFit="1" customWidth="1"/>
    <col min="1796" max="1796" width="14.85546875" style="276" customWidth="1"/>
    <col min="1797" max="1797" width="14" style="276" bestFit="1" customWidth="1"/>
    <col min="1798" max="1798" width="11.85546875" style="276" bestFit="1" customWidth="1"/>
    <col min="1799" max="2048" width="9.140625" style="276"/>
    <col min="2049" max="2049" width="38" style="276" customWidth="1"/>
    <col min="2050" max="2050" width="14.85546875" style="276" bestFit="1" customWidth="1"/>
    <col min="2051" max="2051" width="14" style="276" bestFit="1" customWidth="1"/>
    <col min="2052" max="2052" width="14.85546875" style="276" customWidth="1"/>
    <col min="2053" max="2053" width="14" style="276" bestFit="1" customWidth="1"/>
    <col min="2054" max="2054" width="11.85546875" style="276" bestFit="1" customWidth="1"/>
    <col min="2055" max="2304" width="9.140625" style="276"/>
    <col min="2305" max="2305" width="38" style="276" customWidth="1"/>
    <col min="2306" max="2306" width="14.85546875" style="276" bestFit="1" customWidth="1"/>
    <col min="2307" max="2307" width="14" style="276" bestFit="1" customWidth="1"/>
    <col min="2308" max="2308" width="14.85546875" style="276" customWidth="1"/>
    <col min="2309" max="2309" width="14" style="276" bestFit="1" customWidth="1"/>
    <col min="2310" max="2310" width="11.85546875" style="276" bestFit="1" customWidth="1"/>
    <col min="2311" max="2560" width="9.140625" style="276"/>
    <col min="2561" max="2561" width="38" style="276" customWidth="1"/>
    <col min="2562" max="2562" width="14.85546875" style="276" bestFit="1" customWidth="1"/>
    <col min="2563" max="2563" width="14" style="276" bestFit="1" customWidth="1"/>
    <col min="2564" max="2564" width="14.85546875" style="276" customWidth="1"/>
    <col min="2565" max="2565" width="14" style="276" bestFit="1" customWidth="1"/>
    <col min="2566" max="2566" width="11.85546875" style="276" bestFit="1" customWidth="1"/>
    <col min="2567" max="2816" width="9.140625" style="276"/>
    <col min="2817" max="2817" width="38" style="276" customWidth="1"/>
    <col min="2818" max="2818" width="14.85546875" style="276" bestFit="1" customWidth="1"/>
    <col min="2819" max="2819" width="14" style="276" bestFit="1" customWidth="1"/>
    <col min="2820" max="2820" width="14.85546875" style="276" customWidth="1"/>
    <col min="2821" max="2821" width="14" style="276" bestFit="1" customWidth="1"/>
    <col min="2822" max="2822" width="11.85546875" style="276" bestFit="1" customWidth="1"/>
    <col min="2823" max="3072" width="9.140625" style="276"/>
    <col min="3073" max="3073" width="38" style="276" customWidth="1"/>
    <col min="3074" max="3074" width="14.85546875" style="276" bestFit="1" customWidth="1"/>
    <col min="3075" max="3075" width="14" style="276" bestFit="1" customWidth="1"/>
    <col min="3076" max="3076" width="14.85546875" style="276" customWidth="1"/>
    <col min="3077" max="3077" width="14" style="276" bestFit="1" customWidth="1"/>
    <col min="3078" max="3078" width="11.85546875" style="276" bestFit="1" customWidth="1"/>
    <col min="3079" max="3328" width="9.140625" style="276"/>
    <col min="3329" max="3329" width="38" style="276" customWidth="1"/>
    <col min="3330" max="3330" width="14.85546875" style="276" bestFit="1" customWidth="1"/>
    <col min="3331" max="3331" width="14" style="276" bestFit="1" customWidth="1"/>
    <col min="3332" max="3332" width="14.85546875" style="276" customWidth="1"/>
    <col min="3333" max="3333" width="14" style="276" bestFit="1" customWidth="1"/>
    <col min="3334" max="3334" width="11.85546875" style="276" bestFit="1" customWidth="1"/>
    <col min="3335" max="3584" width="9.140625" style="276"/>
    <col min="3585" max="3585" width="38" style="276" customWidth="1"/>
    <col min="3586" max="3586" width="14.85546875" style="276" bestFit="1" customWidth="1"/>
    <col min="3587" max="3587" width="14" style="276" bestFit="1" customWidth="1"/>
    <col min="3588" max="3588" width="14.85546875" style="276" customWidth="1"/>
    <col min="3589" max="3589" width="14" style="276" bestFit="1" customWidth="1"/>
    <col min="3590" max="3590" width="11.85546875" style="276" bestFit="1" customWidth="1"/>
    <col min="3591" max="3840" width="9.140625" style="276"/>
    <col min="3841" max="3841" width="38" style="276" customWidth="1"/>
    <col min="3842" max="3842" width="14.85546875" style="276" bestFit="1" customWidth="1"/>
    <col min="3843" max="3843" width="14" style="276" bestFit="1" customWidth="1"/>
    <col min="3844" max="3844" width="14.85546875" style="276" customWidth="1"/>
    <col min="3845" max="3845" width="14" style="276" bestFit="1" customWidth="1"/>
    <col min="3846" max="3846" width="11.85546875" style="276" bestFit="1" customWidth="1"/>
    <col min="3847" max="4096" width="9.140625" style="276"/>
    <col min="4097" max="4097" width="38" style="276" customWidth="1"/>
    <col min="4098" max="4098" width="14.85546875" style="276" bestFit="1" customWidth="1"/>
    <col min="4099" max="4099" width="14" style="276" bestFit="1" customWidth="1"/>
    <col min="4100" max="4100" width="14.85546875" style="276" customWidth="1"/>
    <col min="4101" max="4101" width="14" style="276" bestFit="1" customWidth="1"/>
    <col min="4102" max="4102" width="11.85546875" style="276" bestFit="1" customWidth="1"/>
    <col min="4103" max="4352" width="9.140625" style="276"/>
    <col min="4353" max="4353" width="38" style="276" customWidth="1"/>
    <col min="4354" max="4354" width="14.85546875" style="276" bestFit="1" customWidth="1"/>
    <col min="4355" max="4355" width="14" style="276" bestFit="1" customWidth="1"/>
    <col min="4356" max="4356" width="14.85546875" style="276" customWidth="1"/>
    <col min="4357" max="4357" width="14" style="276" bestFit="1" customWidth="1"/>
    <col min="4358" max="4358" width="11.85546875" style="276" bestFit="1" customWidth="1"/>
    <col min="4359" max="4608" width="9.140625" style="276"/>
    <col min="4609" max="4609" width="38" style="276" customWidth="1"/>
    <col min="4610" max="4610" width="14.85546875" style="276" bestFit="1" customWidth="1"/>
    <col min="4611" max="4611" width="14" style="276" bestFit="1" customWidth="1"/>
    <col min="4612" max="4612" width="14.85546875" style="276" customWidth="1"/>
    <col min="4613" max="4613" width="14" style="276" bestFit="1" customWidth="1"/>
    <col min="4614" max="4614" width="11.85546875" style="276" bestFit="1" customWidth="1"/>
    <col min="4615" max="4864" width="9.140625" style="276"/>
    <col min="4865" max="4865" width="38" style="276" customWidth="1"/>
    <col min="4866" max="4866" width="14.85546875" style="276" bestFit="1" customWidth="1"/>
    <col min="4867" max="4867" width="14" style="276" bestFit="1" customWidth="1"/>
    <col min="4868" max="4868" width="14.85546875" style="276" customWidth="1"/>
    <col min="4869" max="4869" width="14" style="276" bestFit="1" customWidth="1"/>
    <col min="4870" max="4870" width="11.85546875" style="276" bestFit="1" customWidth="1"/>
    <col min="4871" max="5120" width="9.140625" style="276"/>
    <col min="5121" max="5121" width="38" style="276" customWidth="1"/>
    <col min="5122" max="5122" width="14.85546875" style="276" bestFit="1" customWidth="1"/>
    <col min="5123" max="5123" width="14" style="276" bestFit="1" customWidth="1"/>
    <col min="5124" max="5124" width="14.85546875" style="276" customWidth="1"/>
    <col min="5125" max="5125" width="14" style="276" bestFit="1" customWidth="1"/>
    <col min="5126" max="5126" width="11.85546875" style="276" bestFit="1" customWidth="1"/>
    <col min="5127" max="5376" width="9.140625" style="276"/>
    <col min="5377" max="5377" width="38" style="276" customWidth="1"/>
    <col min="5378" max="5378" width="14.85546875" style="276" bestFit="1" customWidth="1"/>
    <col min="5379" max="5379" width="14" style="276" bestFit="1" customWidth="1"/>
    <col min="5380" max="5380" width="14.85546875" style="276" customWidth="1"/>
    <col min="5381" max="5381" width="14" style="276" bestFit="1" customWidth="1"/>
    <col min="5382" max="5382" width="11.85546875" style="276" bestFit="1" customWidth="1"/>
    <col min="5383" max="5632" width="9.140625" style="276"/>
    <col min="5633" max="5633" width="38" style="276" customWidth="1"/>
    <col min="5634" max="5634" width="14.85546875" style="276" bestFit="1" customWidth="1"/>
    <col min="5635" max="5635" width="14" style="276" bestFit="1" customWidth="1"/>
    <col min="5636" max="5636" width="14.85546875" style="276" customWidth="1"/>
    <col min="5637" max="5637" width="14" style="276" bestFit="1" customWidth="1"/>
    <col min="5638" max="5638" width="11.85546875" style="276" bestFit="1" customWidth="1"/>
    <col min="5639" max="5888" width="9.140625" style="276"/>
    <col min="5889" max="5889" width="38" style="276" customWidth="1"/>
    <col min="5890" max="5890" width="14.85546875" style="276" bestFit="1" customWidth="1"/>
    <col min="5891" max="5891" width="14" style="276" bestFit="1" customWidth="1"/>
    <col min="5892" max="5892" width="14.85546875" style="276" customWidth="1"/>
    <col min="5893" max="5893" width="14" style="276" bestFit="1" customWidth="1"/>
    <col min="5894" max="5894" width="11.85546875" style="276" bestFit="1" customWidth="1"/>
    <col min="5895" max="6144" width="9.140625" style="276"/>
    <col min="6145" max="6145" width="38" style="276" customWidth="1"/>
    <col min="6146" max="6146" width="14.85546875" style="276" bestFit="1" customWidth="1"/>
    <col min="6147" max="6147" width="14" style="276" bestFit="1" customWidth="1"/>
    <col min="6148" max="6148" width="14.85546875" style="276" customWidth="1"/>
    <col min="6149" max="6149" width="14" style="276" bestFit="1" customWidth="1"/>
    <col min="6150" max="6150" width="11.85546875" style="276" bestFit="1" customWidth="1"/>
    <col min="6151" max="6400" width="9.140625" style="276"/>
    <col min="6401" max="6401" width="38" style="276" customWidth="1"/>
    <col min="6402" max="6402" width="14.85546875" style="276" bestFit="1" customWidth="1"/>
    <col min="6403" max="6403" width="14" style="276" bestFit="1" customWidth="1"/>
    <col min="6404" max="6404" width="14.85546875" style="276" customWidth="1"/>
    <col min="6405" max="6405" width="14" style="276" bestFit="1" customWidth="1"/>
    <col min="6406" max="6406" width="11.85546875" style="276" bestFit="1" customWidth="1"/>
    <col min="6407" max="6656" width="9.140625" style="276"/>
    <col min="6657" max="6657" width="38" style="276" customWidth="1"/>
    <col min="6658" max="6658" width="14.85546875" style="276" bestFit="1" customWidth="1"/>
    <col min="6659" max="6659" width="14" style="276" bestFit="1" customWidth="1"/>
    <col min="6660" max="6660" width="14.85546875" style="276" customWidth="1"/>
    <col min="6661" max="6661" width="14" style="276" bestFit="1" customWidth="1"/>
    <col min="6662" max="6662" width="11.85546875" style="276" bestFit="1" customWidth="1"/>
    <col min="6663" max="6912" width="9.140625" style="276"/>
    <col min="6913" max="6913" width="38" style="276" customWidth="1"/>
    <col min="6914" max="6914" width="14.85546875" style="276" bestFit="1" customWidth="1"/>
    <col min="6915" max="6915" width="14" style="276" bestFit="1" customWidth="1"/>
    <col min="6916" max="6916" width="14.85546875" style="276" customWidth="1"/>
    <col min="6917" max="6917" width="14" style="276" bestFit="1" customWidth="1"/>
    <col min="6918" max="6918" width="11.85546875" style="276" bestFit="1" customWidth="1"/>
    <col min="6919" max="7168" width="9.140625" style="276"/>
    <col min="7169" max="7169" width="38" style="276" customWidth="1"/>
    <col min="7170" max="7170" width="14.85546875" style="276" bestFit="1" customWidth="1"/>
    <col min="7171" max="7171" width="14" style="276" bestFit="1" customWidth="1"/>
    <col min="7172" max="7172" width="14.85546875" style="276" customWidth="1"/>
    <col min="7173" max="7173" width="14" style="276" bestFit="1" customWidth="1"/>
    <col min="7174" max="7174" width="11.85546875" style="276" bestFit="1" customWidth="1"/>
    <col min="7175" max="7424" width="9.140625" style="276"/>
    <col min="7425" max="7425" width="38" style="276" customWidth="1"/>
    <col min="7426" max="7426" width="14.85546875" style="276" bestFit="1" customWidth="1"/>
    <col min="7427" max="7427" width="14" style="276" bestFit="1" customWidth="1"/>
    <col min="7428" max="7428" width="14.85546875" style="276" customWidth="1"/>
    <col min="7429" max="7429" width="14" style="276" bestFit="1" customWidth="1"/>
    <col min="7430" max="7430" width="11.85546875" style="276" bestFit="1" customWidth="1"/>
    <col min="7431" max="7680" width="9.140625" style="276"/>
    <col min="7681" max="7681" width="38" style="276" customWidth="1"/>
    <col min="7682" max="7682" width="14.85546875" style="276" bestFit="1" customWidth="1"/>
    <col min="7683" max="7683" width="14" style="276" bestFit="1" customWidth="1"/>
    <col min="7684" max="7684" width="14.85546875" style="276" customWidth="1"/>
    <col min="7685" max="7685" width="14" style="276" bestFit="1" customWidth="1"/>
    <col min="7686" max="7686" width="11.85546875" style="276" bestFit="1" customWidth="1"/>
    <col min="7687" max="7936" width="9.140625" style="276"/>
    <col min="7937" max="7937" width="38" style="276" customWidth="1"/>
    <col min="7938" max="7938" width="14.85546875" style="276" bestFit="1" customWidth="1"/>
    <col min="7939" max="7939" width="14" style="276" bestFit="1" customWidth="1"/>
    <col min="7940" max="7940" width="14.85546875" style="276" customWidth="1"/>
    <col min="7941" max="7941" width="14" style="276" bestFit="1" customWidth="1"/>
    <col min="7942" max="7942" width="11.85546875" style="276" bestFit="1" customWidth="1"/>
    <col min="7943" max="8192" width="9.140625" style="276"/>
    <col min="8193" max="8193" width="38" style="276" customWidth="1"/>
    <col min="8194" max="8194" width="14.85546875" style="276" bestFit="1" customWidth="1"/>
    <col min="8195" max="8195" width="14" style="276" bestFit="1" customWidth="1"/>
    <col min="8196" max="8196" width="14.85546875" style="276" customWidth="1"/>
    <col min="8197" max="8197" width="14" style="276" bestFit="1" customWidth="1"/>
    <col min="8198" max="8198" width="11.85546875" style="276" bestFit="1" customWidth="1"/>
    <col min="8199" max="8448" width="9.140625" style="276"/>
    <col min="8449" max="8449" width="38" style="276" customWidth="1"/>
    <col min="8450" max="8450" width="14.85546875" style="276" bestFit="1" customWidth="1"/>
    <col min="8451" max="8451" width="14" style="276" bestFit="1" customWidth="1"/>
    <col min="8452" max="8452" width="14.85546875" style="276" customWidth="1"/>
    <col min="8453" max="8453" width="14" style="276" bestFit="1" customWidth="1"/>
    <col min="8454" max="8454" width="11.85546875" style="276" bestFit="1" customWidth="1"/>
    <col min="8455" max="8704" width="9.140625" style="276"/>
    <col min="8705" max="8705" width="38" style="276" customWidth="1"/>
    <col min="8706" max="8706" width="14.85546875" style="276" bestFit="1" customWidth="1"/>
    <col min="8707" max="8707" width="14" style="276" bestFit="1" customWidth="1"/>
    <col min="8708" max="8708" width="14.85546875" style="276" customWidth="1"/>
    <col min="8709" max="8709" width="14" style="276" bestFit="1" customWidth="1"/>
    <col min="8710" max="8710" width="11.85546875" style="276" bestFit="1" customWidth="1"/>
    <col min="8711" max="8960" width="9.140625" style="276"/>
    <col min="8961" max="8961" width="38" style="276" customWidth="1"/>
    <col min="8962" max="8962" width="14.85546875" style="276" bestFit="1" customWidth="1"/>
    <col min="8963" max="8963" width="14" style="276" bestFit="1" customWidth="1"/>
    <col min="8964" max="8964" width="14.85546875" style="276" customWidth="1"/>
    <col min="8965" max="8965" width="14" style="276" bestFit="1" customWidth="1"/>
    <col min="8966" max="8966" width="11.85546875" style="276" bestFit="1" customWidth="1"/>
    <col min="8967" max="9216" width="9.140625" style="276"/>
    <col min="9217" max="9217" width="38" style="276" customWidth="1"/>
    <col min="9218" max="9218" width="14.85546875" style="276" bestFit="1" customWidth="1"/>
    <col min="9219" max="9219" width="14" style="276" bestFit="1" customWidth="1"/>
    <col min="9220" max="9220" width="14.85546875" style="276" customWidth="1"/>
    <col min="9221" max="9221" width="14" style="276" bestFit="1" customWidth="1"/>
    <col min="9222" max="9222" width="11.85546875" style="276" bestFit="1" customWidth="1"/>
    <col min="9223" max="9472" width="9.140625" style="276"/>
    <col min="9473" max="9473" width="38" style="276" customWidth="1"/>
    <col min="9474" max="9474" width="14.85546875" style="276" bestFit="1" customWidth="1"/>
    <col min="9475" max="9475" width="14" style="276" bestFit="1" customWidth="1"/>
    <col min="9476" max="9476" width="14.85546875" style="276" customWidth="1"/>
    <col min="9477" max="9477" width="14" style="276" bestFit="1" customWidth="1"/>
    <col min="9478" max="9478" width="11.85546875" style="276" bestFit="1" customWidth="1"/>
    <col min="9479" max="9728" width="9.140625" style="276"/>
    <col min="9729" max="9729" width="38" style="276" customWidth="1"/>
    <col min="9730" max="9730" width="14.85546875" style="276" bestFit="1" customWidth="1"/>
    <col min="9731" max="9731" width="14" style="276" bestFit="1" customWidth="1"/>
    <col min="9732" max="9732" width="14.85546875" style="276" customWidth="1"/>
    <col min="9733" max="9733" width="14" style="276" bestFit="1" customWidth="1"/>
    <col min="9734" max="9734" width="11.85546875" style="276" bestFit="1" customWidth="1"/>
    <col min="9735" max="9984" width="9.140625" style="276"/>
    <col min="9985" max="9985" width="38" style="276" customWidth="1"/>
    <col min="9986" max="9986" width="14.85546875" style="276" bestFit="1" customWidth="1"/>
    <col min="9987" max="9987" width="14" style="276" bestFit="1" customWidth="1"/>
    <col min="9988" max="9988" width="14.85546875" style="276" customWidth="1"/>
    <col min="9989" max="9989" width="14" style="276" bestFit="1" customWidth="1"/>
    <col min="9990" max="9990" width="11.85546875" style="276" bestFit="1" customWidth="1"/>
    <col min="9991" max="10240" width="9.140625" style="276"/>
    <col min="10241" max="10241" width="38" style="276" customWidth="1"/>
    <col min="10242" max="10242" width="14.85546875" style="276" bestFit="1" customWidth="1"/>
    <col min="10243" max="10243" width="14" style="276" bestFit="1" customWidth="1"/>
    <col min="10244" max="10244" width="14.85546875" style="276" customWidth="1"/>
    <col min="10245" max="10245" width="14" style="276" bestFit="1" customWidth="1"/>
    <col min="10246" max="10246" width="11.85546875" style="276" bestFit="1" customWidth="1"/>
    <col min="10247" max="10496" width="9.140625" style="276"/>
    <col min="10497" max="10497" width="38" style="276" customWidth="1"/>
    <col min="10498" max="10498" width="14.85546875" style="276" bestFit="1" customWidth="1"/>
    <col min="10499" max="10499" width="14" style="276" bestFit="1" customWidth="1"/>
    <col min="10500" max="10500" width="14.85546875" style="276" customWidth="1"/>
    <col min="10501" max="10501" width="14" style="276" bestFit="1" customWidth="1"/>
    <col min="10502" max="10502" width="11.85546875" style="276" bestFit="1" customWidth="1"/>
    <col min="10503" max="10752" width="9.140625" style="276"/>
    <col min="10753" max="10753" width="38" style="276" customWidth="1"/>
    <col min="10754" max="10754" width="14.85546875" style="276" bestFit="1" customWidth="1"/>
    <col min="10755" max="10755" width="14" style="276" bestFit="1" customWidth="1"/>
    <col min="10756" max="10756" width="14.85546875" style="276" customWidth="1"/>
    <col min="10757" max="10757" width="14" style="276" bestFit="1" customWidth="1"/>
    <col min="10758" max="10758" width="11.85546875" style="276" bestFit="1" customWidth="1"/>
    <col min="10759" max="11008" width="9.140625" style="276"/>
    <col min="11009" max="11009" width="38" style="276" customWidth="1"/>
    <col min="11010" max="11010" width="14.85546875" style="276" bestFit="1" customWidth="1"/>
    <col min="11011" max="11011" width="14" style="276" bestFit="1" customWidth="1"/>
    <col min="11012" max="11012" width="14.85546875" style="276" customWidth="1"/>
    <col min="11013" max="11013" width="14" style="276" bestFit="1" customWidth="1"/>
    <col min="11014" max="11014" width="11.85546875" style="276" bestFit="1" customWidth="1"/>
    <col min="11015" max="11264" width="9.140625" style="276"/>
    <col min="11265" max="11265" width="38" style="276" customWidth="1"/>
    <col min="11266" max="11266" width="14.85546875" style="276" bestFit="1" customWidth="1"/>
    <col min="11267" max="11267" width="14" style="276" bestFit="1" customWidth="1"/>
    <col min="11268" max="11268" width="14.85546875" style="276" customWidth="1"/>
    <col min="11269" max="11269" width="14" style="276" bestFit="1" customWidth="1"/>
    <col min="11270" max="11270" width="11.85546875" style="276" bestFit="1" customWidth="1"/>
    <col min="11271" max="11520" width="9.140625" style="276"/>
    <col min="11521" max="11521" width="38" style="276" customWidth="1"/>
    <col min="11522" max="11522" width="14.85546875" style="276" bestFit="1" customWidth="1"/>
    <col min="11523" max="11523" width="14" style="276" bestFit="1" customWidth="1"/>
    <col min="11524" max="11524" width="14.85546875" style="276" customWidth="1"/>
    <col min="11525" max="11525" width="14" style="276" bestFit="1" customWidth="1"/>
    <col min="11526" max="11526" width="11.85546875" style="276" bestFit="1" customWidth="1"/>
    <col min="11527" max="11776" width="9.140625" style="276"/>
    <col min="11777" max="11777" width="38" style="276" customWidth="1"/>
    <col min="11778" max="11778" width="14.85546875" style="276" bestFit="1" customWidth="1"/>
    <col min="11779" max="11779" width="14" style="276" bestFit="1" customWidth="1"/>
    <col min="11780" max="11780" width="14.85546875" style="276" customWidth="1"/>
    <col min="11781" max="11781" width="14" style="276" bestFit="1" customWidth="1"/>
    <col min="11782" max="11782" width="11.85546875" style="276" bestFit="1" customWidth="1"/>
    <col min="11783" max="12032" width="9.140625" style="276"/>
    <col min="12033" max="12033" width="38" style="276" customWidth="1"/>
    <col min="12034" max="12034" width="14.85546875" style="276" bestFit="1" customWidth="1"/>
    <col min="12035" max="12035" width="14" style="276" bestFit="1" customWidth="1"/>
    <col min="12036" max="12036" width="14.85546875" style="276" customWidth="1"/>
    <col min="12037" max="12037" width="14" style="276" bestFit="1" customWidth="1"/>
    <col min="12038" max="12038" width="11.85546875" style="276" bestFit="1" customWidth="1"/>
    <col min="12039" max="12288" width="9.140625" style="276"/>
    <col min="12289" max="12289" width="38" style="276" customWidth="1"/>
    <col min="12290" max="12290" width="14.85546875" style="276" bestFit="1" customWidth="1"/>
    <col min="12291" max="12291" width="14" style="276" bestFit="1" customWidth="1"/>
    <col min="12292" max="12292" width="14.85546875" style="276" customWidth="1"/>
    <col min="12293" max="12293" width="14" style="276" bestFit="1" customWidth="1"/>
    <col min="12294" max="12294" width="11.85546875" style="276" bestFit="1" customWidth="1"/>
    <col min="12295" max="12544" width="9.140625" style="276"/>
    <col min="12545" max="12545" width="38" style="276" customWidth="1"/>
    <col min="12546" max="12546" width="14.85546875" style="276" bestFit="1" customWidth="1"/>
    <col min="12547" max="12547" width="14" style="276" bestFit="1" customWidth="1"/>
    <col min="12548" max="12548" width="14.85546875" style="276" customWidth="1"/>
    <col min="12549" max="12549" width="14" style="276" bestFit="1" customWidth="1"/>
    <col min="12550" max="12550" width="11.85546875" style="276" bestFit="1" customWidth="1"/>
    <col min="12551" max="12800" width="9.140625" style="276"/>
    <col min="12801" max="12801" width="38" style="276" customWidth="1"/>
    <col min="12802" max="12802" width="14.85546875" style="276" bestFit="1" customWidth="1"/>
    <col min="12803" max="12803" width="14" style="276" bestFit="1" customWidth="1"/>
    <col min="12804" max="12804" width="14.85546875" style="276" customWidth="1"/>
    <col min="12805" max="12805" width="14" style="276" bestFit="1" customWidth="1"/>
    <col min="12806" max="12806" width="11.85546875" style="276" bestFit="1" customWidth="1"/>
    <col min="12807" max="13056" width="9.140625" style="276"/>
    <col min="13057" max="13057" width="38" style="276" customWidth="1"/>
    <col min="13058" max="13058" width="14.85546875" style="276" bestFit="1" customWidth="1"/>
    <col min="13059" max="13059" width="14" style="276" bestFit="1" customWidth="1"/>
    <col min="13060" max="13060" width="14.85546875" style="276" customWidth="1"/>
    <col min="13061" max="13061" width="14" style="276" bestFit="1" customWidth="1"/>
    <col min="13062" max="13062" width="11.85546875" style="276" bestFit="1" customWidth="1"/>
    <col min="13063" max="13312" width="9.140625" style="276"/>
    <col min="13313" max="13313" width="38" style="276" customWidth="1"/>
    <col min="13314" max="13314" width="14.85546875" style="276" bestFit="1" customWidth="1"/>
    <col min="13315" max="13315" width="14" style="276" bestFit="1" customWidth="1"/>
    <col min="13316" max="13316" width="14.85546875" style="276" customWidth="1"/>
    <col min="13317" max="13317" width="14" style="276" bestFit="1" customWidth="1"/>
    <col min="13318" max="13318" width="11.85546875" style="276" bestFit="1" customWidth="1"/>
    <col min="13319" max="13568" width="9.140625" style="276"/>
    <col min="13569" max="13569" width="38" style="276" customWidth="1"/>
    <col min="13570" max="13570" width="14.85546875" style="276" bestFit="1" customWidth="1"/>
    <col min="13571" max="13571" width="14" style="276" bestFit="1" customWidth="1"/>
    <col min="13572" max="13572" width="14.85546875" style="276" customWidth="1"/>
    <col min="13573" max="13573" width="14" style="276" bestFit="1" customWidth="1"/>
    <col min="13574" max="13574" width="11.85546875" style="276" bestFit="1" customWidth="1"/>
    <col min="13575" max="13824" width="9.140625" style="276"/>
    <col min="13825" max="13825" width="38" style="276" customWidth="1"/>
    <col min="13826" max="13826" width="14.85546875" style="276" bestFit="1" customWidth="1"/>
    <col min="13827" max="13827" width="14" style="276" bestFit="1" customWidth="1"/>
    <col min="13828" max="13828" width="14.85546875" style="276" customWidth="1"/>
    <col min="13829" max="13829" width="14" style="276" bestFit="1" customWidth="1"/>
    <col min="13830" max="13830" width="11.85546875" style="276" bestFit="1" customWidth="1"/>
    <col min="13831" max="14080" width="9.140625" style="276"/>
    <col min="14081" max="14081" width="38" style="276" customWidth="1"/>
    <col min="14082" max="14082" width="14.85546875" style="276" bestFit="1" customWidth="1"/>
    <col min="14083" max="14083" width="14" style="276" bestFit="1" customWidth="1"/>
    <col min="14084" max="14084" width="14.85546875" style="276" customWidth="1"/>
    <col min="14085" max="14085" width="14" style="276" bestFit="1" customWidth="1"/>
    <col min="14086" max="14086" width="11.85546875" style="276" bestFit="1" customWidth="1"/>
    <col min="14087" max="14336" width="9.140625" style="276"/>
    <col min="14337" max="14337" width="38" style="276" customWidth="1"/>
    <col min="14338" max="14338" width="14.85546875" style="276" bestFit="1" customWidth="1"/>
    <col min="14339" max="14339" width="14" style="276" bestFit="1" customWidth="1"/>
    <col min="14340" max="14340" width="14.85546875" style="276" customWidth="1"/>
    <col min="14341" max="14341" width="14" style="276" bestFit="1" customWidth="1"/>
    <col min="14342" max="14342" width="11.85546875" style="276" bestFit="1" customWidth="1"/>
    <col min="14343" max="14592" width="9.140625" style="276"/>
    <col min="14593" max="14593" width="38" style="276" customWidth="1"/>
    <col min="14594" max="14594" width="14.85546875" style="276" bestFit="1" customWidth="1"/>
    <col min="14595" max="14595" width="14" style="276" bestFit="1" customWidth="1"/>
    <col min="14596" max="14596" width="14.85546875" style="276" customWidth="1"/>
    <col min="14597" max="14597" width="14" style="276" bestFit="1" customWidth="1"/>
    <col min="14598" max="14598" width="11.85546875" style="276" bestFit="1" customWidth="1"/>
    <col min="14599" max="14848" width="9.140625" style="276"/>
    <col min="14849" max="14849" width="38" style="276" customWidth="1"/>
    <col min="14850" max="14850" width="14.85546875" style="276" bestFit="1" customWidth="1"/>
    <col min="14851" max="14851" width="14" style="276" bestFit="1" customWidth="1"/>
    <col min="14852" max="14852" width="14.85546875" style="276" customWidth="1"/>
    <col min="14853" max="14853" width="14" style="276" bestFit="1" customWidth="1"/>
    <col min="14854" max="14854" width="11.85546875" style="276" bestFit="1" customWidth="1"/>
    <col min="14855" max="15104" width="9.140625" style="276"/>
    <col min="15105" max="15105" width="38" style="276" customWidth="1"/>
    <col min="15106" max="15106" width="14.85546875" style="276" bestFit="1" customWidth="1"/>
    <col min="15107" max="15107" width="14" style="276" bestFit="1" customWidth="1"/>
    <col min="15108" max="15108" width="14.85546875" style="276" customWidth="1"/>
    <col min="15109" max="15109" width="14" style="276" bestFit="1" customWidth="1"/>
    <col min="15110" max="15110" width="11.85546875" style="276" bestFit="1" customWidth="1"/>
    <col min="15111" max="15360" width="9.140625" style="276"/>
    <col min="15361" max="15361" width="38" style="276" customWidth="1"/>
    <col min="15362" max="15362" width="14.85546875" style="276" bestFit="1" customWidth="1"/>
    <col min="15363" max="15363" width="14" style="276" bestFit="1" customWidth="1"/>
    <col min="15364" max="15364" width="14.85546875" style="276" customWidth="1"/>
    <col min="15365" max="15365" width="14" style="276" bestFit="1" customWidth="1"/>
    <col min="15366" max="15366" width="11.85546875" style="276" bestFit="1" customWidth="1"/>
    <col min="15367" max="15616" width="9.140625" style="276"/>
    <col min="15617" max="15617" width="38" style="276" customWidth="1"/>
    <col min="15618" max="15618" width="14.85546875" style="276" bestFit="1" customWidth="1"/>
    <col min="15619" max="15619" width="14" style="276" bestFit="1" customWidth="1"/>
    <col min="15620" max="15620" width="14.85546875" style="276" customWidth="1"/>
    <col min="15621" max="15621" width="14" style="276" bestFit="1" customWidth="1"/>
    <col min="15622" max="15622" width="11.85546875" style="276" bestFit="1" customWidth="1"/>
    <col min="15623" max="15872" width="9.140625" style="276"/>
    <col min="15873" max="15873" width="38" style="276" customWidth="1"/>
    <col min="15874" max="15874" width="14.85546875" style="276" bestFit="1" customWidth="1"/>
    <col min="15875" max="15875" width="14" style="276" bestFit="1" customWidth="1"/>
    <col min="15876" max="15876" width="14.85546875" style="276" customWidth="1"/>
    <col min="15877" max="15877" width="14" style="276" bestFit="1" customWidth="1"/>
    <col min="15878" max="15878" width="11.85546875" style="276" bestFit="1" customWidth="1"/>
    <col min="15879" max="16128" width="9.140625" style="276"/>
    <col min="16129" max="16129" width="38" style="276" customWidth="1"/>
    <col min="16130" max="16130" width="14.85546875" style="276" bestFit="1" customWidth="1"/>
    <col min="16131" max="16131" width="14" style="276" bestFit="1" customWidth="1"/>
    <col min="16132" max="16132" width="14.85546875" style="276" customWidth="1"/>
    <col min="16133" max="16133" width="14" style="276" bestFit="1" customWidth="1"/>
    <col min="16134" max="16134" width="11.85546875" style="276" bestFit="1" customWidth="1"/>
    <col min="16135" max="16384" width="9.140625" style="276"/>
  </cols>
  <sheetData>
    <row r="1" spans="1:5" ht="16.5" customHeight="1" x14ac:dyDescent="0.2">
      <c r="A1" s="425" t="s">
        <v>375</v>
      </c>
      <c r="B1" s="425"/>
      <c r="C1" s="425"/>
      <c r="D1" s="425"/>
      <c r="E1" s="425"/>
    </row>
    <row r="2" spans="1:5" ht="16.5" customHeight="1" x14ac:dyDescent="0.2">
      <c r="A2" s="172"/>
      <c r="B2" s="172"/>
      <c r="C2" s="172"/>
      <c r="D2" s="172"/>
      <c r="E2" s="172"/>
    </row>
    <row r="3" spans="1:5" ht="15.75" x14ac:dyDescent="0.2">
      <c r="A3" s="426" t="s">
        <v>425</v>
      </c>
      <c r="B3" s="426"/>
      <c r="C3" s="426"/>
      <c r="D3" s="426"/>
      <c r="E3" s="426"/>
    </row>
    <row r="4" spans="1:5" ht="16.5" customHeight="1" x14ac:dyDescent="0.25">
      <c r="A4" s="436" t="s">
        <v>146</v>
      </c>
      <c r="B4" s="439" t="s">
        <v>426</v>
      </c>
      <c r="C4" s="442" t="s">
        <v>378</v>
      </c>
      <c r="D4" s="277" t="s">
        <v>379</v>
      </c>
      <c r="E4" s="442" t="s">
        <v>380</v>
      </c>
    </row>
    <row r="5" spans="1:5" ht="16.5" customHeight="1" x14ac:dyDescent="0.25">
      <c r="A5" s="437"/>
      <c r="B5" s="440"/>
      <c r="C5" s="443"/>
      <c r="D5" s="278" t="s">
        <v>381</v>
      </c>
      <c r="E5" s="443"/>
    </row>
    <row r="6" spans="1:5" ht="22.5" customHeight="1" x14ac:dyDescent="0.25">
      <c r="A6" s="437"/>
      <c r="B6" s="440"/>
      <c r="C6" s="443"/>
      <c r="D6" s="278" t="s">
        <v>21</v>
      </c>
      <c r="E6" s="443"/>
    </row>
    <row r="7" spans="1:5" ht="6.75" hidden="1" customHeight="1" x14ac:dyDescent="0.25">
      <c r="A7" s="438"/>
      <c r="B7" s="441"/>
      <c r="C7" s="444"/>
      <c r="D7" s="279"/>
      <c r="E7" s="444"/>
    </row>
    <row r="8" spans="1:5" ht="15.75" x14ac:dyDescent="0.25">
      <c r="A8" s="280"/>
      <c r="B8" s="105" t="s">
        <v>382</v>
      </c>
      <c r="C8" s="105" t="s">
        <v>382</v>
      </c>
      <c r="D8" s="105"/>
      <c r="E8" s="105" t="s">
        <v>427</v>
      </c>
    </row>
    <row r="9" spans="1:5" ht="24.95" customHeight="1" x14ac:dyDescent="0.2">
      <c r="A9" s="281" t="s">
        <v>428</v>
      </c>
      <c r="B9" s="282">
        <v>583621</v>
      </c>
      <c r="C9" s="283">
        <v>645280</v>
      </c>
      <c r="D9" s="283">
        <v>900000</v>
      </c>
      <c r="E9" s="283">
        <v>800000</v>
      </c>
    </row>
    <row r="10" spans="1:5" ht="24.95" customHeight="1" x14ac:dyDescent="0.2">
      <c r="A10" s="281" t="s">
        <v>429</v>
      </c>
      <c r="B10" s="284">
        <v>2670817</v>
      </c>
      <c r="C10" s="283">
        <v>2019009</v>
      </c>
      <c r="D10" s="283">
        <v>3000000</v>
      </c>
      <c r="E10" s="283">
        <v>3000000</v>
      </c>
    </row>
    <row r="11" spans="1:5" ht="24.95" customHeight="1" x14ac:dyDescent="0.2">
      <c r="A11" s="281" t="s">
        <v>430</v>
      </c>
      <c r="B11" s="284"/>
      <c r="C11" s="283"/>
      <c r="D11" s="283"/>
      <c r="E11" s="283"/>
    </row>
    <row r="12" spans="1:5" ht="24.95" customHeight="1" x14ac:dyDescent="0.2">
      <c r="A12" s="281" t="s">
        <v>431</v>
      </c>
      <c r="B12" s="284">
        <v>23600566.989999998</v>
      </c>
      <c r="C12" s="283">
        <v>13051563</v>
      </c>
      <c r="D12" s="283">
        <v>27500000</v>
      </c>
      <c r="E12" s="283">
        <v>30000000</v>
      </c>
    </row>
    <row r="13" spans="1:5" ht="24.95" customHeight="1" x14ac:dyDescent="0.2">
      <c r="A13" s="281" t="s">
        <v>432</v>
      </c>
      <c r="B13" s="284"/>
      <c r="C13" s="283">
        <v>1500</v>
      </c>
      <c r="D13" s="283"/>
      <c r="E13" s="283"/>
    </row>
    <row r="14" spans="1:5" ht="24.95" customHeight="1" x14ac:dyDescent="0.2">
      <c r="A14" s="281" t="s">
        <v>433</v>
      </c>
      <c r="B14" s="284"/>
      <c r="C14" s="283"/>
      <c r="D14" s="283"/>
      <c r="E14" s="283"/>
    </row>
    <row r="15" spans="1:5" ht="24.95" customHeight="1" x14ac:dyDescent="0.2">
      <c r="A15" s="281" t="s">
        <v>434</v>
      </c>
      <c r="B15" s="284">
        <v>1401329</v>
      </c>
      <c r="C15" s="283"/>
      <c r="D15" s="283"/>
      <c r="E15" s="283">
        <v>1500000</v>
      </c>
    </row>
    <row r="16" spans="1:5" ht="24.95" customHeight="1" x14ac:dyDescent="0.2">
      <c r="A16" s="285" t="s">
        <v>435</v>
      </c>
      <c r="B16" s="284"/>
      <c r="C16" s="283"/>
      <c r="D16" s="283"/>
      <c r="E16" s="283"/>
    </row>
    <row r="17" spans="1:6" ht="24.95" customHeight="1" x14ac:dyDescent="0.2">
      <c r="A17" s="281" t="s">
        <v>436</v>
      </c>
      <c r="B17" s="284">
        <v>80000</v>
      </c>
      <c r="C17" s="283"/>
      <c r="D17" s="283"/>
      <c r="E17" s="283"/>
    </row>
    <row r="18" spans="1:6" ht="24.95" customHeight="1" x14ac:dyDescent="0.2">
      <c r="A18" s="286" t="s">
        <v>437</v>
      </c>
      <c r="B18" s="287">
        <v>1585372</v>
      </c>
      <c r="C18" s="283">
        <v>1973577</v>
      </c>
      <c r="D18" s="283">
        <v>4736600</v>
      </c>
      <c r="E18" s="283">
        <v>4736600</v>
      </c>
      <c r="F18" s="288"/>
    </row>
    <row r="19" spans="1:6" ht="24.95" customHeight="1" x14ac:dyDescent="0.25">
      <c r="A19" s="286"/>
      <c r="B19" s="289"/>
      <c r="C19" s="290"/>
      <c r="D19" s="290"/>
      <c r="E19" s="290">
        <f>C19*2</f>
        <v>0</v>
      </c>
    </row>
    <row r="20" spans="1:6" ht="24.95" customHeight="1" x14ac:dyDescent="0.25">
      <c r="A20" s="280" t="s">
        <v>438</v>
      </c>
      <c r="B20" s="291">
        <f>SUM(B9:B18)</f>
        <v>29921705.989999998</v>
      </c>
      <c r="C20" s="292">
        <f>SUM(C9:C19)</f>
        <v>17690929</v>
      </c>
      <c r="D20" s="292">
        <f>SUM(D9:D19)</f>
        <v>36136600</v>
      </c>
      <c r="E20" s="292">
        <f>SUM(E9:E19)</f>
        <v>40036600</v>
      </c>
    </row>
    <row r="21" spans="1:6" ht="15.75" x14ac:dyDescent="0.25">
      <c r="A21" s="293"/>
      <c r="B21" s="293"/>
      <c r="C21" s="293"/>
      <c r="D21" s="293"/>
      <c r="E21" s="294"/>
    </row>
    <row r="22" spans="1:6" ht="15.75" x14ac:dyDescent="0.25">
      <c r="A22" s="293"/>
      <c r="B22" s="293"/>
      <c r="C22" s="293"/>
      <c r="D22" s="293"/>
      <c r="E22" s="293"/>
    </row>
    <row r="23" spans="1:6" ht="15.75" x14ac:dyDescent="0.25">
      <c r="A23" s="293"/>
      <c r="B23" s="293"/>
      <c r="C23" s="293"/>
      <c r="D23" s="293"/>
      <c r="E23" s="293"/>
    </row>
    <row r="24" spans="1:6" ht="15.75" x14ac:dyDescent="0.25">
      <c r="A24" s="293"/>
      <c r="B24" s="293"/>
      <c r="C24" s="293"/>
      <c r="D24" s="293"/>
      <c r="E24" s="293"/>
    </row>
    <row r="25" spans="1:6" ht="15.75" x14ac:dyDescent="0.25">
      <c r="A25" s="293"/>
      <c r="B25" s="293"/>
      <c r="C25" s="293"/>
      <c r="D25" s="293"/>
      <c r="E25" s="293"/>
    </row>
    <row r="26" spans="1:6" ht="15.75" x14ac:dyDescent="0.25">
      <c r="A26" s="293"/>
      <c r="B26" s="293"/>
      <c r="C26" s="293"/>
      <c r="D26" s="295"/>
      <c r="E26" s="293"/>
    </row>
    <row r="27" spans="1:6" ht="15.75" x14ac:dyDescent="0.25">
      <c r="A27" s="293"/>
      <c r="B27" s="293"/>
      <c r="C27" s="293"/>
      <c r="D27" s="293"/>
      <c r="E27" s="293"/>
    </row>
    <row r="28" spans="1:6" ht="15.75" x14ac:dyDescent="0.25">
      <c r="A28" s="293"/>
      <c r="B28" s="293"/>
      <c r="C28" s="293"/>
      <c r="D28" s="293"/>
      <c r="E28" s="293"/>
    </row>
    <row r="29" spans="1:6" ht="15.75" x14ac:dyDescent="0.25">
      <c r="A29" s="293"/>
      <c r="B29" s="293"/>
      <c r="C29" s="293"/>
      <c r="D29" s="293"/>
      <c r="E29" s="293"/>
    </row>
    <row r="30" spans="1:6" ht="15.75" x14ac:dyDescent="0.25">
      <c r="A30" s="293"/>
      <c r="B30" s="293"/>
      <c r="C30" s="293"/>
      <c r="D30" s="293"/>
      <c r="E30" s="293"/>
    </row>
    <row r="31" spans="1:6" ht="15.75" x14ac:dyDescent="0.25">
      <c r="A31" s="293"/>
      <c r="B31" s="293"/>
      <c r="C31" s="293"/>
      <c r="D31" s="293"/>
      <c r="E31" s="293"/>
    </row>
    <row r="32" spans="1:6" ht="15.75" x14ac:dyDescent="0.25">
      <c r="A32" s="293"/>
      <c r="B32" s="293"/>
      <c r="C32" s="293"/>
      <c r="D32" s="293"/>
      <c r="E32" s="293"/>
    </row>
    <row r="33" spans="1:5" ht="15.75" x14ac:dyDescent="0.25">
      <c r="A33" s="293"/>
      <c r="B33" s="293"/>
      <c r="C33" s="293"/>
      <c r="D33" s="293"/>
      <c r="E33" s="293"/>
    </row>
    <row r="34" spans="1:5" ht="15.75" x14ac:dyDescent="0.25">
      <c r="A34" s="293"/>
      <c r="B34" s="293"/>
      <c r="C34" s="293"/>
      <c r="D34" s="293"/>
      <c r="E34" s="293"/>
    </row>
    <row r="35" spans="1:5" ht="15.75" x14ac:dyDescent="0.25">
      <c r="A35" s="293"/>
      <c r="B35" s="293"/>
      <c r="C35" s="293"/>
      <c r="D35" s="293"/>
      <c r="E35" s="293"/>
    </row>
    <row r="36" spans="1:5" ht="15.75" x14ac:dyDescent="0.25">
      <c r="A36" s="293"/>
      <c r="B36" s="293"/>
      <c r="C36" s="293"/>
      <c r="D36" s="293"/>
      <c r="E36" s="293"/>
    </row>
    <row r="37" spans="1:5" ht="15.75" x14ac:dyDescent="0.25">
      <c r="A37" s="293"/>
      <c r="B37" s="293"/>
      <c r="C37" s="293"/>
      <c r="D37" s="293"/>
      <c r="E37" s="293"/>
    </row>
    <row r="38" spans="1:5" ht="15.75" x14ac:dyDescent="0.25">
      <c r="A38" s="293"/>
      <c r="B38" s="293"/>
      <c r="C38" s="293"/>
      <c r="D38" s="293"/>
      <c r="E38" s="293"/>
    </row>
    <row r="39" spans="1:5" ht="15.75" x14ac:dyDescent="0.25">
      <c r="A39" s="293"/>
      <c r="B39" s="293"/>
      <c r="C39" s="293"/>
      <c r="D39" s="293"/>
      <c r="E39" s="293"/>
    </row>
    <row r="40" spans="1:5" ht="15.75" x14ac:dyDescent="0.25">
      <c r="A40" s="293"/>
      <c r="B40" s="293"/>
      <c r="C40" s="293"/>
      <c r="D40" s="293"/>
      <c r="E40" s="293"/>
    </row>
    <row r="41" spans="1:5" ht="15.75" x14ac:dyDescent="0.25">
      <c r="A41" s="293"/>
      <c r="B41" s="293"/>
      <c r="C41" s="293"/>
      <c r="D41" s="293"/>
      <c r="E41" s="293"/>
    </row>
    <row r="42" spans="1:5" ht="15.75" x14ac:dyDescent="0.25">
      <c r="A42" s="293"/>
      <c r="B42" s="293"/>
      <c r="C42" s="293"/>
      <c r="D42" s="293"/>
      <c r="E42" s="293"/>
    </row>
    <row r="43" spans="1:5" ht="15.75" x14ac:dyDescent="0.25">
      <c r="A43" s="293"/>
      <c r="B43" s="293"/>
      <c r="C43" s="293"/>
      <c r="D43" s="293"/>
      <c r="E43" s="293"/>
    </row>
    <row r="44" spans="1:5" ht="15.75" x14ac:dyDescent="0.25">
      <c r="A44" s="293"/>
      <c r="B44" s="293"/>
      <c r="C44" s="293"/>
      <c r="D44" s="293"/>
      <c r="E44" s="293"/>
    </row>
    <row r="45" spans="1:5" ht="15.75" x14ac:dyDescent="0.25">
      <c r="A45" s="293"/>
      <c r="B45" s="293"/>
      <c r="C45" s="293"/>
      <c r="D45" s="293"/>
      <c r="E45" s="293"/>
    </row>
    <row r="46" spans="1:5" ht="15.75" x14ac:dyDescent="0.25">
      <c r="A46" s="293"/>
      <c r="B46" s="293"/>
      <c r="C46" s="293"/>
      <c r="D46" s="293"/>
      <c r="E46" s="293"/>
    </row>
    <row r="47" spans="1:5" ht="15.75" x14ac:dyDescent="0.25">
      <c r="A47" s="293"/>
      <c r="B47" s="293"/>
      <c r="C47" s="293"/>
      <c r="D47" s="293"/>
      <c r="E47" s="293"/>
    </row>
    <row r="48" spans="1:5" ht="15.75" x14ac:dyDescent="0.25">
      <c r="A48" s="293"/>
      <c r="B48" s="293"/>
      <c r="C48" s="293"/>
      <c r="D48" s="293"/>
      <c r="E48" s="293"/>
    </row>
    <row r="49" spans="1:5" ht="15.75" x14ac:dyDescent="0.25">
      <c r="A49" s="293"/>
      <c r="B49" s="293"/>
      <c r="C49" s="293"/>
      <c r="D49" s="293"/>
      <c r="E49" s="293"/>
    </row>
    <row r="50" spans="1:5" ht="15.75" x14ac:dyDescent="0.25">
      <c r="A50" s="293"/>
      <c r="B50" s="293"/>
      <c r="C50" s="293"/>
      <c r="D50" s="293"/>
      <c r="E50" s="293"/>
    </row>
    <row r="51" spans="1:5" ht="15.75" x14ac:dyDescent="0.25">
      <c r="A51" s="293"/>
      <c r="B51" s="293"/>
      <c r="C51" s="293"/>
      <c r="D51" s="293"/>
      <c r="E51" s="293"/>
    </row>
    <row r="52" spans="1:5" ht="15.75" x14ac:dyDescent="0.25">
      <c r="A52" s="293"/>
      <c r="B52" s="293"/>
      <c r="C52" s="293"/>
      <c r="D52" s="293"/>
      <c r="E52" s="293"/>
    </row>
    <row r="53" spans="1:5" ht="15.75" x14ac:dyDescent="0.25">
      <c r="A53" s="293"/>
      <c r="B53" s="293"/>
      <c r="C53" s="293"/>
      <c r="D53" s="293"/>
      <c r="E53" s="293"/>
    </row>
    <row r="54" spans="1:5" ht="15.75" x14ac:dyDescent="0.25">
      <c r="A54" s="293"/>
      <c r="B54" s="293"/>
      <c r="C54" s="293"/>
      <c r="D54" s="293"/>
      <c r="E54" s="293"/>
    </row>
    <row r="55" spans="1:5" ht="15.75" x14ac:dyDescent="0.25">
      <c r="A55" s="293"/>
      <c r="B55" s="293"/>
      <c r="C55" s="293"/>
      <c r="D55" s="293"/>
      <c r="E55" s="293"/>
    </row>
    <row r="56" spans="1:5" ht="15.75" x14ac:dyDescent="0.25">
      <c r="A56" s="293"/>
      <c r="B56" s="293"/>
      <c r="C56" s="293"/>
      <c r="D56" s="293"/>
      <c r="E56" s="293"/>
    </row>
    <row r="57" spans="1:5" ht="15.75" x14ac:dyDescent="0.25">
      <c r="A57" s="293"/>
      <c r="B57" s="293"/>
      <c r="C57" s="293"/>
      <c r="D57" s="293"/>
      <c r="E57" s="293"/>
    </row>
    <row r="58" spans="1:5" ht="15.75" x14ac:dyDescent="0.25">
      <c r="A58" s="293"/>
      <c r="B58" s="293"/>
      <c r="C58" s="293"/>
      <c r="D58" s="293"/>
      <c r="E58" s="293"/>
    </row>
    <row r="59" spans="1:5" ht="15.75" x14ac:dyDescent="0.25">
      <c r="A59" s="293"/>
      <c r="B59" s="293"/>
      <c r="C59" s="293"/>
      <c r="D59" s="293"/>
      <c r="E59" s="293"/>
    </row>
    <row r="60" spans="1:5" ht="15.75" x14ac:dyDescent="0.25">
      <c r="A60" s="293"/>
      <c r="B60" s="293"/>
      <c r="C60" s="293"/>
      <c r="D60" s="293"/>
      <c r="E60" s="293"/>
    </row>
    <row r="61" spans="1:5" ht="15.75" x14ac:dyDescent="0.25">
      <c r="A61" s="293"/>
      <c r="B61" s="293"/>
      <c r="C61" s="293"/>
      <c r="D61" s="293"/>
      <c r="E61" s="293"/>
    </row>
    <row r="62" spans="1:5" ht="15.75" x14ac:dyDescent="0.25">
      <c r="A62" s="293"/>
      <c r="B62" s="293"/>
      <c r="C62" s="293"/>
      <c r="D62" s="293"/>
      <c r="E62" s="293"/>
    </row>
    <row r="63" spans="1:5" ht="15.75" x14ac:dyDescent="0.25">
      <c r="A63" s="293"/>
      <c r="B63" s="293"/>
      <c r="C63" s="293"/>
      <c r="D63" s="293"/>
      <c r="E63" s="293"/>
    </row>
    <row r="64" spans="1:5" ht="15.75" x14ac:dyDescent="0.25">
      <c r="A64" s="293"/>
      <c r="B64" s="293"/>
      <c r="C64" s="293"/>
      <c r="D64" s="293"/>
      <c r="E64" s="293"/>
    </row>
    <row r="65" spans="1:5" ht="15.75" x14ac:dyDescent="0.25">
      <c r="A65" s="293"/>
      <c r="B65" s="293"/>
      <c r="C65" s="293"/>
      <c r="D65" s="293"/>
      <c r="E65" s="293"/>
    </row>
    <row r="66" spans="1:5" ht="15.75" x14ac:dyDescent="0.25">
      <c r="A66" s="293"/>
      <c r="B66" s="293"/>
      <c r="C66" s="293"/>
      <c r="D66" s="293"/>
      <c r="E66" s="293"/>
    </row>
    <row r="67" spans="1:5" ht="15.75" x14ac:dyDescent="0.25">
      <c r="A67" s="293"/>
      <c r="B67" s="293"/>
      <c r="C67" s="293"/>
      <c r="D67" s="293"/>
      <c r="E67" s="293"/>
    </row>
    <row r="68" spans="1:5" ht="15.75" x14ac:dyDescent="0.25">
      <c r="A68" s="293"/>
      <c r="B68" s="293"/>
      <c r="C68" s="293"/>
      <c r="D68" s="293"/>
      <c r="E68" s="293"/>
    </row>
    <row r="69" spans="1:5" ht="15.75" x14ac:dyDescent="0.25">
      <c r="A69" s="293"/>
      <c r="B69" s="293"/>
      <c r="C69" s="293"/>
      <c r="D69" s="293"/>
      <c r="E69" s="293"/>
    </row>
    <row r="70" spans="1:5" ht="15.75" x14ac:dyDescent="0.25">
      <c r="A70" s="293"/>
      <c r="B70" s="293"/>
      <c r="C70" s="293"/>
      <c r="D70" s="293"/>
      <c r="E70" s="293"/>
    </row>
    <row r="71" spans="1:5" ht="15.75" x14ac:dyDescent="0.25">
      <c r="A71" s="293"/>
      <c r="B71" s="293"/>
      <c r="C71" s="293"/>
      <c r="D71" s="293"/>
      <c r="E71" s="293"/>
    </row>
    <row r="72" spans="1:5" ht="15.75" x14ac:dyDescent="0.25">
      <c r="A72" s="293"/>
      <c r="B72" s="293"/>
      <c r="C72" s="293"/>
      <c r="D72" s="293"/>
      <c r="E72" s="293"/>
    </row>
    <row r="73" spans="1:5" ht="15.75" x14ac:dyDescent="0.25">
      <c r="A73" s="293"/>
      <c r="B73" s="293"/>
      <c r="C73" s="293"/>
      <c r="D73" s="293"/>
      <c r="E73" s="293"/>
    </row>
    <row r="74" spans="1:5" ht="15.75" x14ac:dyDescent="0.25">
      <c r="A74" s="293"/>
      <c r="B74" s="293"/>
      <c r="C74" s="293"/>
      <c r="D74" s="293"/>
      <c r="E74" s="293"/>
    </row>
    <row r="75" spans="1:5" ht="15.75" x14ac:dyDescent="0.25">
      <c r="A75" s="293"/>
      <c r="B75" s="293"/>
      <c r="C75" s="293"/>
      <c r="D75" s="293"/>
      <c r="E75" s="293"/>
    </row>
    <row r="76" spans="1:5" ht="15.75" x14ac:dyDescent="0.25">
      <c r="A76" s="293"/>
      <c r="B76" s="293"/>
      <c r="C76" s="293"/>
      <c r="D76" s="293"/>
      <c r="E76" s="293"/>
    </row>
    <row r="77" spans="1:5" ht="15.75" x14ac:dyDescent="0.25">
      <c r="A77" s="293"/>
      <c r="B77" s="293"/>
      <c r="C77" s="293"/>
      <c r="D77" s="293"/>
      <c r="E77" s="293"/>
    </row>
    <row r="78" spans="1:5" ht="15.75" x14ac:dyDescent="0.25">
      <c r="A78" s="293"/>
      <c r="B78" s="293"/>
      <c r="C78" s="293"/>
      <c r="D78" s="293"/>
      <c r="E78" s="293"/>
    </row>
    <row r="79" spans="1:5" ht="15.75" x14ac:dyDescent="0.25">
      <c r="A79" s="293"/>
      <c r="B79" s="293"/>
      <c r="C79" s="293"/>
      <c r="D79" s="293"/>
      <c r="E79" s="293"/>
    </row>
    <row r="80" spans="1:5" ht="15.75" x14ac:dyDescent="0.25">
      <c r="A80" s="293"/>
      <c r="B80" s="293"/>
      <c r="C80" s="293"/>
      <c r="D80" s="293"/>
      <c r="E80" s="293"/>
    </row>
    <row r="81" spans="1:5" ht="15.75" x14ac:dyDescent="0.25">
      <c r="A81" s="293"/>
      <c r="B81" s="293"/>
      <c r="C81" s="293"/>
      <c r="D81" s="293"/>
      <c r="E81" s="293"/>
    </row>
    <row r="82" spans="1:5" ht="15.75" x14ac:dyDescent="0.25">
      <c r="A82" s="293"/>
      <c r="B82" s="293"/>
      <c r="C82" s="293"/>
      <c r="D82" s="293"/>
      <c r="E82" s="293"/>
    </row>
    <row r="83" spans="1:5" ht="15.75" x14ac:dyDescent="0.25">
      <c r="A83" s="293"/>
      <c r="B83" s="293"/>
      <c r="C83" s="293"/>
      <c r="D83" s="293"/>
      <c r="E83" s="293"/>
    </row>
    <row r="84" spans="1:5" ht="15.75" x14ac:dyDescent="0.25">
      <c r="A84" s="293"/>
      <c r="B84" s="293"/>
      <c r="C84" s="293"/>
      <c r="D84" s="293"/>
      <c r="E84" s="293"/>
    </row>
    <row r="85" spans="1:5" ht="15.75" x14ac:dyDescent="0.25">
      <c r="A85" s="293"/>
      <c r="B85" s="293"/>
      <c r="C85" s="293"/>
      <c r="D85" s="293"/>
      <c r="E85" s="293"/>
    </row>
    <row r="86" spans="1:5" ht="15.75" x14ac:dyDescent="0.25">
      <c r="A86" s="293"/>
      <c r="B86" s="293"/>
      <c r="C86" s="293"/>
      <c r="D86" s="293"/>
      <c r="E86" s="293"/>
    </row>
    <row r="87" spans="1:5" ht="15.75" x14ac:dyDescent="0.25">
      <c r="A87" s="293"/>
      <c r="B87" s="293"/>
      <c r="C87" s="293"/>
      <c r="D87" s="293"/>
      <c r="E87" s="293"/>
    </row>
    <row r="88" spans="1:5" ht="15.75" x14ac:dyDescent="0.25">
      <c r="A88" s="293"/>
      <c r="B88" s="293"/>
      <c r="C88" s="293"/>
      <c r="D88" s="293"/>
      <c r="E88" s="293"/>
    </row>
    <row r="89" spans="1:5" ht="15.75" x14ac:dyDescent="0.25">
      <c r="A89" s="293"/>
      <c r="B89" s="293"/>
      <c r="C89" s="293"/>
      <c r="D89" s="293"/>
      <c r="E89" s="293"/>
    </row>
    <row r="90" spans="1:5" ht="15.75" x14ac:dyDescent="0.25">
      <c r="A90" s="293"/>
      <c r="B90" s="293"/>
      <c r="C90" s="293"/>
      <c r="D90" s="293"/>
      <c r="E90" s="293"/>
    </row>
    <row r="91" spans="1:5" ht="15.75" x14ac:dyDescent="0.25">
      <c r="A91" s="293"/>
      <c r="B91" s="293"/>
      <c r="C91" s="293"/>
      <c r="D91" s="293"/>
      <c r="E91" s="293"/>
    </row>
    <row r="92" spans="1:5" ht="15.75" x14ac:dyDescent="0.25">
      <c r="A92" s="293"/>
      <c r="B92" s="293"/>
      <c r="C92" s="293"/>
      <c r="D92" s="293"/>
      <c r="E92" s="293"/>
    </row>
    <row r="93" spans="1:5" ht="15.75" x14ac:dyDescent="0.25">
      <c r="A93" s="293"/>
      <c r="B93" s="293"/>
      <c r="C93" s="293"/>
      <c r="D93" s="293"/>
      <c r="E93" s="293"/>
    </row>
    <row r="94" spans="1:5" ht="15.75" x14ac:dyDescent="0.25">
      <c r="A94" s="293"/>
      <c r="B94" s="293"/>
      <c r="C94" s="293"/>
      <c r="D94" s="293"/>
      <c r="E94" s="293"/>
    </row>
    <row r="95" spans="1:5" ht="15.75" x14ac:dyDescent="0.25">
      <c r="A95" s="293"/>
      <c r="B95" s="293"/>
      <c r="C95" s="293"/>
      <c r="D95" s="293"/>
      <c r="E95" s="293"/>
    </row>
    <row r="96" spans="1:5" ht="15.75" x14ac:dyDescent="0.25">
      <c r="A96" s="293"/>
      <c r="B96" s="293"/>
      <c r="C96" s="293"/>
      <c r="D96" s="293"/>
      <c r="E96" s="293"/>
    </row>
    <row r="97" spans="1:5" ht="15.75" x14ac:dyDescent="0.25">
      <c r="A97" s="293"/>
      <c r="B97" s="293"/>
      <c r="C97" s="293"/>
      <c r="D97" s="293"/>
      <c r="E97" s="293"/>
    </row>
    <row r="98" spans="1:5" ht="15.75" x14ac:dyDescent="0.25">
      <c r="A98" s="293"/>
      <c r="B98" s="293"/>
      <c r="C98" s="293"/>
      <c r="D98" s="293"/>
      <c r="E98" s="293"/>
    </row>
    <row r="99" spans="1:5" ht="15.75" x14ac:dyDescent="0.25">
      <c r="A99" s="293"/>
      <c r="B99" s="293"/>
      <c r="C99" s="293"/>
      <c r="D99" s="293"/>
      <c r="E99" s="293"/>
    </row>
    <row r="100" spans="1:5" ht="15.75" x14ac:dyDescent="0.25">
      <c r="A100" s="293"/>
      <c r="B100" s="293"/>
      <c r="C100" s="293"/>
      <c r="D100" s="293"/>
      <c r="E100" s="293"/>
    </row>
    <row r="101" spans="1:5" ht="15.75" x14ac:dyDescent="0.25">
      <c r="A101" s="293"/>
      <c r="B101" s="293"/>
      <c r="C101" s="293"/>
      <c r="D101" s="293"/>
      <c r="E101" s="293"/>
    </row>
  </sheetData>
  <mergeCells count="6">
    <mergeCell ref="A1:E1"/>
    <mergeCell ref="A3:E3"/>
    <mergeCell ref="A4:A7"/>
    <mergeCell ref="B4:B7"/>
    <mergeCell ref="C4:C7"/>
    <mergeCell ref="E4:E7"/>
  </mergeCells>
  <printOptions horizontalCentered="1"/>
  <pageMargins left="0.51181102362204722" right="0.51181102362204722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1D3BD-A02D-43C2-B538-4BA45184533A}">
  <dimension ref="A1:E104"/>
  <sheetViews>
    <sheetView topLeftCell="A89" workbookViewId="0">
      <selection activeCell="G115" sqref="G115"/>
    </sheetView>
  </sheetViews>
  <sheetFormatPr defaultRowHeight="12.75" x14ac:dyDescent="0.2"/>
  <cols>
    <col min="1" max="1" width="35" style="126" bestFit="1" customWidth="1"/>
    <col min="2" max="2" width="17.140625" style="126" customWidth="1"/>
    <col min="3" max="3" width="14.7109375" style="126" customWidth="1"/>
    <col min="4" max="4" width="15.5703125" style="126" bestFit="1" customWidth="1"/>
    <col min="5" max="5" width="14.7109375" style="126" customWidth="1"/>
    <col min="6" max="250" width="9.140625" style="126"/>
    <col min="251" max="251" width="41.85546875" style="126" customWidth="1"/>
    <col min="252" max="252" width="14.85546875" style="126" customWidth="1"/>
    <col min="253" max="253" width="14" style="126" bestFit="1" customWidth="1"/>
    <col min="254" max="254" width="14.140625" style="126" customWidth="1"/>
    <col min="255" max="255" width="14.5703125" style="126" bestFit="1" customWidth="1"/>
    <col min="256" max="256" width="9.140625" style="126"/>
    <col min="257" max="257" width="35" style="126" bestFit="1" customWidth="1"/>
    <col min="258" max="258" width="15.5703125" style="126" bestFit="1" customWidth="1"/>
    <col min="259" max="259" width="12.85546875" style="126" bestFit="1" customWidth="1"/>
    <col min="260" max="260" width="14.5703125" style="126" bestFit="1" customWidth="1"/>
    <col min="261" max="506" width="9.140625" style="126"/>
    <col min="507" max="507" width="41.85546875" style="126" customWidth="1"/>
    <col min="508" max="508" width="14.85546875" style="126" customWidth="1"/>
    <col min="509" max="509" width="14" style="126" bestFit="1" customWidth="1"/>
    <col min="510" max="510" width="14.140625" style="126" customWidth="1"/>
    <col min="511" max="511" width="14.5703125" style="126" bestFit="1" customWidth="1"/>
    <col min="512" max="512" width="9.140625" style="126"/>
    <col min="513" max="513" width="35" style="126" bestFit="1" customWidth="1"/>
    <col min="514" max="514" width="15.5703125" style="126" bestFit="1" customWidth="1"/>
    <col min="515" max="515" width="12.85546875" style="126" bestFit="1" customWidth="1"/>
    <col min="516" max="516" width="14.5703125" style="126" bestFit="1" customWidth="1"/>
    <col min="517" max="762" width="9.140625" style="126"/>
    <col min="763" max="763" width="41.85546875" style="126" customWidth="1"/>
    <col min="764" max="764" width="14.85546875" style="126" customWidth="1"/>
    <col min="765" max="765" width="14" style="126" bestFit="1" customWidth="1"/>
    <col min="766" max="766" width="14.140625" style="126" customWidth="1"/>
    <col min="767" max="767" width="14.5703125" style="126" bestFit="1" customWidth="1"/>
    <col min="768" max="768" width="9.140625" style="126"/>
    <col min="769" max="769" width="35" style="126" bestFit="1" customWidth="1"/>
    <col min="770" max="770" width="15.5703125" style="126" bestFit="1" customWidth="1"/>
    <col min="771" max="771" width="12.85546875" style="126" bestFit="1" customWidth="1"/>
    <col min="772" max="772" width="14.5703125" style="126" bestFit="1" customWidth="1"/>
    <col min="773" max="1018" width="9.140625" style="126"/>
    <col min="1019" max="1019" width="41.85546875" style="126" customWidth="1"/>
    <col min="1020" max="1020" width="14.85546875" style="126" customWidth="1"/>
    <col min="1021" max="1021" width="14" style="126" bestFit="1" customWidth="1"/>
    <col min="1022" max="1022" width="14.140625" style="126" customWidth="1"/>
    <col min="1023" max="1023" width="14.5703125" style="126" bestFit="1" customWidth="1"/>
    <col min="1024" max="1024" width="9.140625" style="126"/>
    <col min="1025" max="1025" width="35" style="126" bestFit="1" customWidth="1"/>
    <col min="1026" max="1026" width="15.5703125" style="126" bestFit="1" customWidth="1"/>
    <col min="1027" max="1027" width="12.85546875" style="126" bestFit="1" customWidth="1"/>
    <col min="1028" max="1028" width="14.5703125" style="126" bestFit="1" customWidth="1"/>
    <col min="1029" max="1274" width="9.140625" style="126"/>
    <col min="1275" max="1275" width="41.85546875" style="126" customWidth="1"/>
    <col min="1276" max="1276" width="14.85546875" style="126" customWidth="1"/>
    <col min="1277" max="1277" width="14" style="126" bestFit="1" customWidth="1"/>
    <col min="1278" max="1278" width="14.140625" style="126" customWidth="1"/>
    <col min="1279" max="1279" width="14.5703125" style="126" bestFit="1" customWidth="1"/>
    <col min="1280" max="1280" width="9.140625" style="126"/>
    <col min="1281" max="1281" width="35" style="126" bestFit="1" customWidth="1"/>
    <col min="1282" max="1282" width="15.5703125" style="126" bestFit="1" customWidth="1"/>
    <col min="1283" max="1283" width="12.85546875" style="126" bestFit="1" customWidth="1"/>
    <col min="1284" max="1284" width="14.5703125" style="126" bestFit="1" customWidth="1"/>
    <col min="1285" max="1530" width="9.140625" style="126"/>
    <col min="1531" max="1531" width="41.85546875" style="126" customWidth="1"/>
    <col min="1532" max="1532" width="14.85546875" style="126" customWidth="1"/>
    <col min="1533" max="1533" width="14" style="126" bestFit="1" customWidth="1"/>
    <col min="1534" max="1534" width="14.140625" style="126" customWidth="1"/>
    <col min="1535" max="1535" width="14.5703125" style="126" bestFit="1" customWidth="1"/>
    <col min="1536" max="1536" width="9.140625" style="126"/>
    <col min="1537" max="1537" width="35" style="126" bestFit="1" customWidth="1"/>
    <col min="1538" max="1538" width="15.5703125" style="126" bestFit="1" customWidth="1"/>
    <col min="1539" max="1539" width="12.85546875" style="126" bestFit="1" customWidth="1"/>
    <col min="1540" max="1540" width="14.5703125" style="126" bestFit="1" customWidth="1"/>
    <col min="1541" max="1786" width="9.140625" style="126"/>
    <col min="1787" max="1787" width="41.85546875" style="126" customWidth="1"/>
    <col min="1788" max="1788" width="14.85546875" style="126" customWidth="1"/>
    <col min="1789" max="1789" width="14" style="126" bestFit="1" customWidth="1"/>
    <col min="1790" max="1790" width="14.140625" style="126" customWidth="1"/>
    <col min="1791" max="1791" width="14.5703125" style="126" bestFit="1" customWidth="1"/>
    <col min="1792" max="1792" width="9.140625" style="126"/>
    <col min="1793" max="1793" width="35" style="126" bestFit="1" customWidth="1"/>
    <col min="1794" max="1794" width="15.5703125" style="126" bestFit="1" customWidth="1"/>
    <col min="1795" max="1795" width="12.85546875" style="126" bestFit="1" customWidth="1"/>
    <col min="1796" max="1796" width="14.5703125" style="126" bestFit="1" customWidth="1"/>
    <col min="1797" max="2042" width="9.140625" style="126"/>
    <col min="2043" max="2043" width="41.85546875" style="126" customWidth="1"/>
    <col min="2044" max="2044" width="14.85546875" style="126" customWidth="1"/>
    <col min="2045" max="2045" width="14" style="126" bestFit="1" customWidth="1"/>
    <col min="2046" max="2046" width="14.140625" style="126" customWidth="1"/>
    <col min="2047" max="2047" width="14.5703125" style="126" bestFit="1" customWidth="1"/>
    <col min="2048" max="2048" width="9.140625" style="126"/>
    <col min="2049" max="2049" width="35" style="126" bestFit="1" customWidth="1"/>
    <col min="2050" max="2050" width="15.5703125" style="126" bestFit="1" customWidth="1"/>
    <col min="2051" max="2051" width="12.85546875" style="126" bestFit="1" customWidth="1"/>
    <col min="2052" max="2052" width="14.5703125" style="126" bestFit="1" customWidth="1"/>
    <col min="2053" max="2298" width="9.140625" style="126"/>
    <col min="2299" max="2299" width="41.85546875" style="126" customWidth="1"/>
    <col min="2300" max="2300" width="14.85546875" style="126" customWidth="1"/>
    <col min="2301" max="2301" width="14" style="126" bestFit="1" customWidth="1"/>
    <col min="2302" max="2302" width="14.140625" style="126" customWidth="1"/>
    <col min="2303" max="2303" width="14.5703125" style="126" bestFit="1" customWidth="1"/>
    <col min="2304" max="2304" width="9.140625" style="126"/>
    <col min="2305" max="2305" width="35" style="126" bestFit="1" customWidth="1"/>
    <col min="2306" max="2306" width="15.5703125" style="126" bestFit="1" customWidth="1"/>
    <col min="2307" max="2307" width="12.85546875" style="126" bestFit="1" customWidth="1"/>
    <col min="2308" max="2308" width="14.5703125" style="126" bestFit="1" customWidth="1"/>
    <col min="2309" max="2554" width="9.140625" style="126"/>
    <col min="2555" max="2555" width="41.85546875" style="126" customWidth="1"/>
    <col min="2556" max="2556" width="14.85546875" style="126" customWidth="1"/>
    <col min="2557" max="2557" width="14" style="126" bestFit="1" customWidth="1"/>
    <col min="2558" max="2558" width="14.140625" style="126" customWidth="1"/>
    <col min="2559" max="2559" width="14.5703125" style="126" bestFit="1" customWidth="1"/>
    <col min="2560" max="2560" width="9.140625" style="126"/>
    <col min="2561" max="2561" width="35" style="126" bestFit="1" customWidth="1"/>
    <col min="2562" max="2562" width="15.5703125" style="126" bestFit="1" customWidth="1"/>
    <col min="2563" max="2563" width="12.85546875" style="126" bestFit="1" customWidth="1"/>
    <col min="2564" max="2564" width="14.5703125" style="126" bestFit="1" customWidth="1"/>
    <col min="2565" max="2810" width="9.140625" style="126"/>
    <col min="2811" max="2811" width="41.85546875" style="126" customWidth="1"/>
    <col min="2812" max="2812" width="14.85546875" style="126" customWidth="1"/>
    <col min="2813" max="2813" width="14" style="126" bestFit="1" customWidth="1"/>
    <col min="2814" max="2814" width="14.140625" style="126" customWidth="1"/>
    <col min="2815" max="2815" width="14.5703125" style="126" bestFit="1" customWidth="1"/>
    <col min="2816" max="2816" width="9.140625" style="126"/>
    <col min="2817" max="2817" width="35" style="126" bestFit="1" customWidth="1"/>
    <col min="2818" max="2818" width="15.5703125" style="126" bestFit="1" customWidth="1"/>
    <col min="2819" max="2819" width="12.85546875" style="126" bestFit="1" customWidth="1"/>
    <col min="2820" max="2820" width="14.5703125" style="126" bestFit="1" customWidth="1"/>
    <col min="2821" max="3066" width="9.140625" style="126"/>
    <col min="3067" max="3067" width="41.85546875" style="126" customWidth="1"/>
    <col min="3068" max="3068" width="14.85546875" style="126" customWidth="1"/>
    <col min="3069" max="3069" width="14" style="126" bestFit="1" customWidth="1"/>
    <col min="3070" max="3070" width="14.140625" style="126" customWidth="1"/>
    <col min="3071" max="3071" width="14.5703125" style="126" bestFit="1" customWidth="1"/>
    <col min="3072" max="3072" width="9.140625" style="126"/>
    <col min="3073" max="3073" width="35" style="126" bestFit="1" customWidth="1"/>
    <col min="3074" max="3074" width="15.5703125" style="126" bestFit="1" customWidth="1"/>
    <col min="3075" max="3075" width="12.85546875" style="126" bestFit="1" customWidth="1"/>
    <col min="3076" max="3076" width="14.5703125" style="126" bestFit="1" customWidth="1"/>
    <col min="3077" max="3322" width="9.140625" style="126"/>
    <col min="3323" max="3323" width="41.85546875" style="126" customWidth="1"/>
    <col min="3324" max="3324" width="14.85546875" style="126" customWidth="1"/>
    <col min="3325" max="3325" width="14" style="126" bestFit="1" customWidth="1"/>
    <col min="3326" max="3326" width="14.140625" style="126" customWidth="1"/>
    <col min="3327" max="3327" width="14.5703125" style="126" bestFit="1" customWidth="1"/>
    <col min="3328" max="3328" width="9.140625" style="126"/>
    <col min="3329" max="3329" width="35" style="126" bestFit="1" customWidth="1"/>
    <col min="3330" max="3330" width="15.5703125" style="126" bestFit="1" customWidth="1"/>
    <col min="3331" max="3331" width="12.85546875" style="126" bestFit="1" customWidth="1"/>
    <col min="3332" max="3332" width="14.5703125" style="126" bestFit="1" customWidth="1"/>
    <col min="3333" max="3578" width="9.140625" style="126"/>
    <col min="3579" max="3579" width="41.85546875" style="126" customWidth="1"/>
    <col min="3580" max="3580" width="14.85546875" style="126" customWidth="1"/>
    <col min="3581" max="3581" width="14" style="126" bestFit="1" customWidth="1"/>
    <col min="3582" max="3582" width="14.140625" style="126" customWidth="1"/>
    <col min="3583" max="3583" width="14.5703125" style="126" bestFit="1" customWidth="1"/>
    <col min="3584" max="3584" width="9.140625" style="126"/>
    <col min="3585" max="3585" width="35" style="126" bestFit="1" customWidth="1"/>
    <col min="3586" max="3586" width="15.5703125" style="126" bestFit="1" customWidth="1"/>
    <col min="3587" max="3587" width="12.85546875" style="126" bestFit="1" customWidth="1"/>
    <col min="3588" max="3588" width="14.5703125" style="126" bestFit="1" customWidth="1"/>
    <col min="3589" max="3834" width="9.140625" style="126"/>
    <col min="3835" max="3835" width="41.85546875" style="126" customWidth="1"/>
    <col min="3836" max="3836" width="14.85546875" style="126" customWidth="1"/>
    <col min="3837" max="3837" width="14" style="126" bestFit="1" customWidth="1"/>
    <col min="3838" max="3838" width="14.140625" style="126" customWidth="1"/>
    <col min="3839" max="3839" width="14.5703125" style="126" bestFit="1" customWidth="1"/>
    <col min="3840" max="3840" width="9.140625" style="126"/>
    <col min="3841" max="3841" width="35" style="126" bestFit="1" customWidth="1"/>
    <col min="3842" max="3842" width="15.5703125" style="126" bestFit="1" customWidth="1"/>
    <col min="3843" max="3843" width="12.85546875" style="126" bestFit="1" customWidth="1"/>
    <col min="3844" max="3844" width="14.5703125" style="126" bestFit="1" customWidth="1"/>
    <col min="3845" max="4090" width="9.140625" style="126"/>
    <col min="4091" max="4091" width="41.85546875" style="126" customWidth="1"/>
    <col min="4092" max="4092" width="14.85546875" style="126" customWidth="1"/>
    <col min="4093" max="4093" width="14" style="126" bestFit="1" customWidth="1"/>
    <col min="4094" max="4094" width="14.140625" style="126" customWidth="1"/>
    <col min="4095" max="4095" width="14.5703125" style="126" bestFit="1" customWidth="1"/>
    <col min="4096" max="4096" width="9.140625" style="126"/>
    <col min="4097" max="4097" width="35" style="126" bestFit="1" customWidth="1"/>
    <col min="4098" max="4098" width="15.5703125" style="126" bestFit="1" customWidth="1"/>
    <col min="4099" max="4099" width="12.85546875" style="126" bestFit="1" customWidth="1"/>
    <col min="4100" max="4100" width="14.5703125" style="126" bestFit="1" customWidth="1"/>
    <col min="4101" max="4346" width="9.140625" style="126"/>
    <col min="4347" max="4347" width="41.85546875" style="126" customWidth="1"/>
    <col min="4348" max="4348" width="14.85546875" style="126" customWidth="1"/>
    <col min="4349" max="4349" width="14" style="126" bestFit="1" customWidth="1"/>
    <col min="4350" max="4350" width="14.140625" style="126" customWidth="1"/>
    <col min="4351" max="4351" width="14.5703125" style="126" bestFit="1" customWidth="1"/>
    <col min="4352" max="4352" width="9.140625" style="126"/>
    <col min="4353" max="4353" width="35" style="126" bestFit="1" customWidth="1"/>
    <col min="4354" max="4354" width="15.5703125" style="126" bestFit="1" customWidth="1"/>
    <col min="4355" max="4355" width="12.85546875" style="126" bestFit="1" customWidth="1"/>
    <col min="4356" max="4356" width="14.5703125" style="126" bestFit="1" customWidth="1"/>
    <col min="4357" max="4602" width="9.140625" style="126"/>
    <col min="4603" max="4603" width="41.85546875" style="126" customWidth="1"/>
    <col min="4604" max="4604" width="14.85546875" style="126" customWidth="1"/>
    <col min="4605" max="4605" width="14" style="126" bestFit="1" customWidth="1"/>
    <col min="4606" max="4606" width="14.140625" style="126" customWidth="1"/>
    <col min="4607" max="4607" width="14.5703125" style="126" bestFit="1" customWidth="1"/>
    <col min="4608" max="4608" width="9.140625" style="126"/>
    <col min="4609" max="4609" width="35" style="126" bestFit="1" customWidth="1"/>
    <col min="4610" max="4610" width="15.5703125" style="126" bestFit="1" customWidth="1"/>
    <col min="4611" max="4611" width="12.85546875" style="126" bestFit="1" customWidth="1"/>
    <col min="4612" max="4612" width="14.5703125" style="126" bestFit="1" customWidth="1"/>
    <col min="4613" max="4858" width="9.140625" style="126"/>
    <col min="4859" max="4859" width="41.85546875" style="126" customWidth="1"/>
    <col min="4860" max="4860" width="14.85546875" style="126" customWidth="1"/>
    <col min="4861" max="4861" width="14" style="126" bestFit="1" customWidth="1"/>
    <col min="4862" max="4862" width="14.140625" style="126" customWidth="1"/>
    <col min="4863" max="4863" width="14.5703125" style="126" bestFit="1" customWidth="1"/>
    <col min="4864" max="4864" width="9.140625" style="126"/>
    <col min="4865" max="4865" width="35" style="126" bestFit="1" customWidth="1"/>
    <col min="4866" max="4866" width="15.5703125" style="126" bestFit="1" customWidth="1"/>
    <col min="4867" max="4867" width="12.85546875" style="126" bestFit="1" customWidth="1"/>
    <col min="4868" max="4868" width="14.5703125" style="126" bestFit="1" customWidth="1"/>
    <col min="4869" max="5114" width="9.140625" style="126"/>
    <col min="5115" max="5115" width="41.85546875" style="126" customWidth="1"/>
    <col min="5116" max="5116" width="14.85546875" style="126" customWidth="1"/>
    <col min="5117" max="5117" width="14" style="126" bestFit="1" customWidth="1"/>
    <col min="5118" max="5118" width="14.140625" style="126" customWidth="1"/>
    <col min="5119" max="5119" width="14.5703125" style="126" bestFit="1" customWidth="1"/>
    <col min="5120" max="5120" width="9.140625" style="126"/>
    <col min="5121" max="5121" width="35" style="126" bestFit="1" customWidth="1"/>
    <col min="5122" max="5122" width="15.5703125" style="126" bestFit="1" customWidth="1"/>
    <col min="5123" max="5123" width="12.85546875" style="126" bestFit="1" customWidth="1"/>
    <col min="5124" max="5124" width="14.5703125" style="126" bestFit="1" customWidth="1"/>
    <col min="5125" max="5370" width="9.140625" style="126"/>
    <col min="5371" max="5371" width="41.85546875" style="126" customWidth="1"/>
    <col min="5372" max="5372" width="14.85546875" style="126" customWidth="1"/>
    <col min="5373" max="5373" width="14" style="126" bestFit="1" customWidth="1"/>
    <col min="5374" max="5374" width="14.140625" style="126" customWidth="1"/>
    <col min="5375" max="5375" width="14.5703125" style="126" bestFit="1" customWidth="1"/>
    <col min="5376" max="5376" width="9.140625" style="126"/>
    <col min="5377" max="5377" width="35" style="126" bestFit="1" customWidth="1"/>
    <col min="5378" max="5378" width="15.5703125" style="126" bestFit="1" customWidth="1"/>
    <col min="5379" max="5379" width="12.85546875" style="126" bestFit="1" customWidth="1"/>
    <col min="5380" max="5380" width="14.5703125" style="126" bestFit="1" customWidth="1"/>
    <col min="5381" max="5626" width="9.140625" style="126"/>
    <col min="5627" max="5627" width="41.85546875" style="126" customWidth="1"/>
    <col min="5628" max="5628" width="14.85546875" style="126" customWidth="1"/>
    <col min="5629" max="5629" width="14" style="126" bestFit="1" customWidth="1"/>
    <col min="5630" max="5630" width="14.140625" style="126" customWidth="1"/>
    <col min="5631" max="5631" width="14.5703125" style="126" bestFit="1" customWidth="1"/>
    <col min="5632" max="5632" width="9.140625" style="126"/>
    <col min="5633" max="5633" width="35" style="126" bestFit="1" customWidth="1"/>
    <col min="5634" max="5634" width="15.5703125" style="126" bestFit="1" customWidth="1"/>
    <col min="5635" max="5635" width="12.85546875" style="126" bestFit="1" customWidth="1"/>
    <col min="5636" max="5636" width="14.5703125" style="126" bestFit="1" customWidth="1"/>
    <col min="5637" max="5882" width="9.140625" style="126"/>
    <col min="5883" max="5883" width="41.85546875" style="126" customWidth="1"/>
    <col min="5884" max="5884" width="14.85546875" style="126" customWidth="1"/>
    <col min="5885" max="5885" width="14" style="126" bestFit="1" customWidth="1"/>
    <col min="5886" max="5886" width="14.140625" style="126" customWidth="1"/>
    <col min="5887" max="5887" width="14.5703125" style="126" bestFit="1" customWidth="1"/>
    <col min="5888" max="5888" width="9.140625" style="126"/>
    <col min="5889" max="5889" width="35" style="126" bestFit="1" customWidth="1"/>
    <col min="5890" max="5890" width="15.5703125" style="126" bestFit="1" customWidth="1"/>
    <col min="5891" max="5891" width="12.85546875" style="126" bestFit="1" customWidth="1"/>
    <col min="5892" max="5892" width="14.5703125" style="126" bestFit="1" customWidth="1"/>
    <col min="5893" max="6138" width="9.140625" style="126"/>
    <col min="6139" max="6139" width="41.85546875" style="126" customWidth="1"/>
    <col min="6140" max="6140" width="14.85546875" style="126" customWidth="1"/>
    <col min="6141" max="6141" width="14" style="126" bestFit="1" customWidth="1"/>
    <col min="6142" max="6142" width="14.140625" style="126" customWidth="1"/>
    <col min="6143" max="6143" width="14.5703125" style="126" bestFit="1" customWidth="1"/>
    <col min="6144" max="6144" width="9.140625" style="126"/>
    <col min="6145" max="6145" width="35" style="126" bestFit="1" customWidth="1"/>
    <col min="6146" max="6146" width="15.5703125" style="126" bestFit="1" customWidth="1"/>
    <col min="6147" max="6147" width="12.85546875" style="126" bestFit="1" customWidth="1"/>
    <col min="6148" max="6148" width="14.5703125" style="126" bestFit="1" customWidth="1"/>
    <col min="6149" max="6394" width="9.140625" style="126"/>
    <col min="6395" max="6395" width="41.85546875" style="126" customWidth="1"/>
    <col min="6396" max="6396" width="14.85546875" style="126" customWidth="1"/>
    <col min="6397" max="6397" width="14" style="126" bestFit="1" customWidth="1"/>
    <col min="6398" max="6398" width="14.140625" style="126" customWidth="1"/>
    <col min="6399" max="6399" width="14.5703125" style="126" bestFit="1" customWidth="1"/>
    <col min="6400" max="6400" width="9.140625" style="126"/>
    <col min="6401" max="6401" width="35" style="126" bestFit="1" customWidth="1"/>
    <col min="6402" max="6402" width="15.5703125" style="126" bestFit="1" customWidth="1"/>
    <col min="6403" max="6403" width="12.85546875" style="126" bestFit="1" customWidth="1"/>
    <col min="6404" max="6404" width="14.5703125" style="126" bestFit="1" customWidth="1"/>
    <col min="6405" max="6650" width="9.140625" style="126"/>
    <col min="6651" max="6651" width="41.85546875" style="126" customWidth="1"/>
    <col min="6652" max="6652" width="14.85546875" style="126" customWidth="1"/>
    <col min="6653" max="6653" width="14" style="126" bestFit="1" customWidth="1"/>
    <col min="6654" max="6654" width="14.140625" style="126" customWidth="1"/>
    <col min="6655" max="6655" width="14.5703125" style="126" bestFit="1" customWidth="1"/>
    <col min="6656" max="6656" width="9.140625" style="126"/>
    <col min="6657" max="6657" width="35" style="126" bestFit="1" customWidth="1"/>
    <col min="6658" max="6658" width="15.5703125" style="126" bestFit="1" customWidth="1"/>
    <col min="6659" max="6659" width="12.85546875" style="126" bestFit="1" customWidth="1"/>
    <col min="6660" max="6660" width="14.5703125" style="126" bestFit="1" customWidth="1"/>
    <col min="6661" max="6906" width="9.140625" style="126"/>
    <col min="6907" max="6907" width="41.85546875" style="126" customWidth="1"/>
    <col min="6908" max="6908" width="14.85546875" style="126" customWidth="1"/>
    <col min="6909" max="6909" width="14" style="126" bestFit="1" customWidth="1"/>
    <col min="6910" max="6910" width="14.140625" style="126" customWidth="1"/>
    <col min="6911" max="6911" width="14.5703125" style="126" bestFit="1" customWidth="1"/>
    <col min="6912" max="6912" width="9.140625" style="126"/>
    <col min="6913" max="6913" width="35" style="126" bestFit="1" customWidth="1"/>
    <col min="6914" max="6914" width="15.5703125" style="126" bestFit="1" customWidth="1"/>
    <col min="6915" max="6915" width="12.85546875" style="126" bestFit="1" customWidth="1"/>
    <col min="6916" max="6916" width="14.5703125" style="126" bestFit="1" customWidth="1"/>
    <col min="6917" max="7162" width="9.140625" style="126"/>
    <col min="7163" max="7163" width="41.85546875" style="126" customWidth="1"/>
    <col min="7164" max="7164" width="14.85546875" style="126" customWidth="1"/>
    <col min="7165" max="7165" width="14" style="126" bestFit="1" customWidth="1"/>
    <col min="7166" max="7166" width="14.140625" style="126" customWidth="1"/>
    <col min="7167" max="7167" width="14.5703125" style="126" bestFit="1" customWidth="1"/>
    <col min="7168" max="7168" width="9.140625" style="126"/>
    <col min="7169" max="7169" width="35" style="126" bestFit="1" customWidth="1"/>
    <col min="7170" max="7170" width="15.5703125" style="126" bestFit="1" customWidth="1"/>
    <col min="7171" max="7171" width="12.85546875" style="126" bestFit="1" customWidth="1"/>
    <col min="7172" max="7172" width="14.5703125" style="126" bestFit="1" customWidth="1"/>
    <col min="7173" max="7418" width="9.140625" style="126"/>
    <col min="7419" max="7419" width="41.85546875" style="126" customWidth="1"/>
    <col min="7420" max="7420" width="14.85546875" style="126" customWidth="1"/>
    <col min="7421" max="7421" width="14" style="126" bestFit="1" customWidth="1"/>
    <col min="7422" max="7422" width="14.140625" style="126" customWidth="1"/>
    <col min="7423" max="7423" width="14.5703125" style="126" bestFit="1" customWidth="1"/>
    <col min="7424" max="7424" width="9.140625" style="126"/>
    <col min="7425" max="7425" width="35" style="126" bestFit="1" customWidth="1"/>
    <col min="7426" max="7426" width="15.5703125" style="126" bestFit="1" customWidth="1"/>
    <col min="7427" max="7427" width="12.85546875" style="126" bestFit="1" customWidth="1"/>
    <col min="7428" max="7428" width="14.5703125" style="126" bestFit="1" customWidth="1"/>
    <col min="7429" max="7674" width="9.140625" style="126"/>
    <col min="7675" max="7675" width="41.85546875" style="126" customWidth="1"/>
    <col min="7676" max="7676" width="14.85546875" style="126" customWidth="1"/>
    <col min="7677" max="7677" width="14" style="126" bestFit="1" customWidth="1"/>
    <col min="7678" max="7678" width="14.140625" style="126" customWidth="1"/>
    <col min="7679" max="7679" width="14.5703125" style="126" bestFit="1" customWidth="1"/>
    <col min="7680" max="7680" width="9.140625" style="126"/>
    <col min="7681" max="7681" width="35" style="126" bestFit="1" customWidth="1"/>
    <col min="7682" max="7682" width="15.5703125" style="126" bestFit="1" customWidth="1"/>
    <col min="7683" max="7683" width="12.85546875" style="126" bestFit="1" customWidth="1"/>
    <col min="7684" max="7684" width="14.5703125" style="126" bestFit="1" customWidth="1"/>
    <col min="7685" max="7930" width="9.140625" style="126"/>
    <col min="7931" max="7931" width="41.85546875" style="126" customWidth="1"/>
    <col min="7932" max="7932" width="14.85546875" style="126" customWidth="1"/>
    <col min="7933" max="7933" width="14" style="126" bestFit="1" customWidth="1"/>
    <col min="7934" max="7934" width="14.140625" style="126" customWidth="1"/>
    <col min="7935" max="7935" width="14.5703125" style="126" bestFit="1" customWidth="1"/>
    <col min="7936" max="7936" width="9.140625" style="126"/>
    <col min="7937" max="7937" width="35" style="126" bestFit="1" customWidth="1"/>
    <col min="7938" max="7938" width="15.5703125" style="126" bestFit="1" customWidth="1"/>
    <col min="7939" max="7939" width="12.85546875" style="126" bestFit="1" customWidth="1"/>
    <col min="7940" max="7940" width="14.5703125" style="126" bestFit="1" customWidth="1"/>
    <col min="7941" max="8186" width="9.140625" style="126"/>
    <col min="8187" max="8187" width="41.85546875" style="126" customWidth="1"/>
    <col min="8188" max="8188" width="14.85546875" style="126" customWidth="1"/>
    <col min="8189" max="8189" width="14" style="126" bestFit="1" customWidth="1"/>
    <col min="8190" max="8190" width="14.140625" style="126" customWidth="1"/>
    <col min="8191" max="8191" width="14.5703125" style="126" bestFit="1" customWidth="1"/>
    <col min="8192" max="8192" width="9.140625" style="126"/>
    <col min="8193" max="8193" width="35" style="126" bestFit="1" customWidth="1"/>
    <col min="8194" max="8194" width="15.5703125" style="126" bestFit="1" customWidth="1"/>
    <col min="8195" max="8195" width="12.85546875" style="126" bestFit="1" customWidth="1"/>
    <col min="8196" max="8196" width="14.5703125" style="126" bestFit="1" customWidth="1"/>
    <col min="8197" max="8442" width="9.140625" style="126"/>
    <col min="8443" max="8443" width="41.85546875" style="126" customWidth="1"/>
    <col min="8444" max="8444" width="14.85546875" style="126" customWidth="1"/>
    <col min="8445" max="8445" width="14" style="126" bestFit="1" customWidth="1"/>
    <col min="8446" max="8446" width="14.140625" style="126" customWidth="1"/>
    <col min="8447" max="8447" width="14.5703125" style="126" bestFit="1" customWidth="1"/>
    <col min="8448" max="8448" width="9.140625" style="126"/>
    <col min="8449" max="8449" width="35" style="126" bestFit="1" customWidth="1"/>
    <col min="8450" max="8450" width="15.5703125" style="126" bestFit="1" customWidth="1"/>
    <col min="8451" max="8451" width="12.85546875" style="126" bestFit="1" customWidth="1"/>
    <col min="8452" max="8452" width="14.5703125" style="126" bestFit="1" customWidth="1"/>
    <col min="8453" max="8698" width="9.140625" style="126"/>
    <col min="8699" max="8699" width="41.85546875" style="126" customWidth="1"/>
    <col min="8700" max="8700" width="14.85546875" style="126" customWidth="1"/>
    <col min="8701" max="8701" width="14" style="126" bestFit="1" customWidth="1"/>
    <col min="8702" max="8702" width="14.140625" style="126" customWidth="1"/>
    <col min="8703" max="8703" width="14.5703125" style="126" bestFit="1" customWidth="1"/>
    <col min="8704" max="8704" width="9.140625" style="126"/>
    <col min="8705" max="8705" width="35" style="126" bestFit="1" customWidth="1"/>
    <col min="8706" max="8706" width="15.5703125" style="126" bestFit="1" customWidth="1"/>
    <col min="8707" max="8707" width="12.85546875" style="126" bestFit="1" customWidth="1"/>
    <col min="8708" max="8708" width="14.5703125" style="126" bestFit="1" customWidth="1"/>
    <col min="8709" max="8954" width="9.140625" style="126"/>
    <col min="8955" max="8955" width="41.85546875" style="126" customWidth="1"/>
    <col min="8956" max="8956" width="14.85546875" style="126" customWidth="1"/>
    <col min="8957" max="8957" width="14" style="126" bestFit="1" customWidth="1"/>
    <col min="8958" max="8958" width="14.140625" style="126" customWidth="1"/>
    <col min="8959" max="8959" width="14.5703125" style="126" bestFit="1" customWidth="1"/>
    <col min="8960" max="8960" width="9.140625" style="126"/>
    <col min="8961" max="8961" width="35" style="126" bestFit="1" customWidth="1"/>
    <col min="8962" max="8962" width="15.5703125" style="126" bestFit="1" customWidth="1"/>
    <col min="8963" max="8963" width="12.85546875" style="126" bestFit="1" customWidth="1"/>
    <col min="8964" max="8964" width="14.5703125" style="126" bestFit="1" customWidth="1"/>
    <col min="8965" max="9210" width="9.140625" style="126"/>
    <col min="9211" max="9211" width="41.85546875" style="126" customWidth="1"/>
    <col min="9212" max="9212" width="14.85546875" style="126" customWidth="1"/>
    <col min="9213" max="9213" width="14" style="126" bestFit="1" customWidth="1"/>
    <col min="9214" max="9214" width="14.140625" style="126" customWidth="1"/>
    <col min="9215" max="9215" width="14.5703125" style="126" bestFit="1" customWidth="1"/>
    <col min="9216" max="9216" width="9.140625" style="126"/>
    <col min="9217" max="9217" width="35" style="126" bestFit="1" customWidth="1"/>
    <col min="9218" max="9218" width="15.5703125" style="126" bestFit="1" customWidth="1"/>
    <col min="9219" max="9219" width="12.85546875" style="126" bestFit="1" customWidth="1"/>
    <col min="9220" max="9220" width="14.5703125" style="126" bestFit="1" customWidth="1"/>
    <col min="9221" max="9466" width="9.140625" style="126"/>
    <col min="9467" max="9467" width="41.85546875" style="126" customWidth="1"/>
    <col min="9468" max="9468" width="14.85546875" style="126" customWidth="1"/>
    <col min="9469" max="9469" width="14" style="126" bestFit="1" customWidth="1"/>
    <col min="9470" max="9470" width="14.140625" style="126" customWidth="1"/>
    <col min="9471" max="9471" width="14.5703125" style="126" bestFit="1" customWidth="1"/>
    <col min="9472" max="9472" width="9.140625" style="126"/>
    <col min="9473" max="9473" width="35" style="126" bestFit="1" customWidth="1"/>
    <col min="9474" max="9474" width="15.5703125" style="126" bestFit="1" customWidth="1"/>
    <col min="9475" max="9475" width="12.85546875" style="126" bestFit="1" customWidth="1"/>
    <col min="9476" max="9476" width="14.5703125" style="126" bestFit="1" customWidth="1"/>
    <col min="9477" max="9722" width="9.140625" style="126"/>
    <col min="9723" max="9723" width="41.85546875" style="126" customWidth="1"/>
    <col min="9724" max="9724" width="14.85546875" style="126" customWidth="1"/>
    <col min="9725" max="9725" width="14" style="126" bestFit="1" customWidth="1"/>
    <col min="9726" max="9726" width="14.140625" style="126" customWidth="1"/>
    <col min="9727" max="9727" width="14.5703125" style="126" bestFit="1" customWidth="1"/>
    <col min="9728" max="9728" width="9.140625" style="126"/>
    <col min="9729" max="9729" width="35" style="126" bestFit="1" customWidth="1"/>
    <col min="9730" max="9730" width="15.5703125" style="126" bestFit="1" customWidth="1"/>
    <col min="9731" max="9731" width="12.85546875" style="126" bestFit="1" customWidth="1"/>
    <col min="9732" max="9732" width="14.5703125" style="126" bestFit="1" customWidth="1"/>
    <col min="9733" max="9978" width="9.140625" style="126"/>
    <col min="9979" max="9979" width="41.85546875" style="126" customWidth="1"/>
    <col min="9980" max="9980" width="14.85546875" style="126" customWidth="1"/>
    <col min="9981" max="9981" width="14" style="126" bestFit="1" customWidth="1"/>
    <col min="9982" max="9982" width="14.140625" style="126" customWidth="1"/>
    <col min="9983" max="9983" width="14.5703125" style="126" bestFit="1" customWidth="1"/>
    <col min="9984" max="9984" width="9.140625" style="126"/>
    <col min="9985" max="9985" width="35" style="126" bestFit="1" customWidth="1"/>
    <col min="9986" max="9986" width="15.5703125" style="126" bestFit="1" customWidth="1"/>
    <col min="9987" max="9987" width="12.85546875" style="126" bestFit="1" customWidth="1"/>
    <col min="9988" max="9988" width="14.5703125" style="126" bestFit="1" customWidth="1"/>
    <col min="9989" max="10234" width="9.140625" style="126"/>
    <col min="10235" max="10235" width="41.85546875" style="126" customWidth="1"/>
    <col min="10236" max="10236" width="14.85546875" style="126" customWidth="1"/>
    <col min="10237" max="10237" width="14" style="126" bestFit="1" customWidth="1"/>
    <col min="10238" max="10238" width="14.140625" style="126" customWidth="1"/>
    <col min="10239" max="10239" width="14.5703125" style="126" bestFit="1" customWidth="1"/>
    <col min="10240" max="10240" width="9.140625" style="126"/>
    <col min="10241" max="10241" width="35" style="126" bestFit="1" customWidth="1"/>
    <col min="10242" max="10242" width="15.5703125" style="126" bestFit="1" customWidth="1"/>
    <col min="10243" max="10243" width="12.85546875" style="126" bestFit="1" customWidth="1"/>
    <col min="10244" max="10244" width="14.5703125" style="126" bestFit="1" customWidth="1"/>
    <col min="10245" max="10490" width="9.140625" style="126"/>
    <col min="10491" max="10491" width="41.85546875" style="126" customWidth="1"/>
    <col min="10492" max="10492" width="14.85546875" style="126" customWidth="1"/>
    <col min="10493" max="10493" width="14" style="126" bestFit="1" customWidth="1"/>
    <col min="10494" max="10494" width="14.140625" style="126" customWidth="1"/>
    <col min="10495" max="10495" width="14.5703125" style="126" bestFit="1" customWidth="1"/>
    <col min="10496" max="10496" width="9.140625" style="126"/>
    <col min="10497" max="10497" width="35" style="126" bestFit="1" customWidth="1"/>
    <col min="10498" max="10498" width="15.5703125" style="126" bestFit="1" customWidth="1"/>
    <col min="10499" max="10499" width="12.85546875" style="126" bestFit="1" customWidth="1"/>
    <col min="10500" max="10500" width="14.5703125" style="126" bestFit="1" customWidth="1"/>
    <col min="10501" max="10746" width="9.140625" style="126"/>
    <col min="10747" max="10747" width="41.85546875" style="126" customWidth="1"/>
    <col min="10748" max="10748" width="14.85546875" style="126" customWidth="1"/>
    <col min="10749" max="10749" width="14" style="126" bestFit="1" customWidth="1"/>
    <col min="10750" max="10750" width="14.140625" style="126" customWidth="1"/>
    <col min="10751" max="10751" width="14.5703125" style="126" bestFit="1" customWidth="1"/>
    <col min="10752" max="10752" width="9.140625" style="126"/>
    <col min="10753" max="10753" width="35" style="126" bestFit="1" customWidth="1"/>
    <col min="10754" max="10754" width="15.5703125" style="126" bestFit="1" customWidth="1"/>
    <col min="10755" max="10755" width="12.85546875" style="126" bestFit="1" customWidth="1"/>
    <col min="10756" max="10756" width="14.5703125" style="126" bestFit="1" customWidth="1"/>
    <col min="10757" max="11002" width="9.140625" style="126"/>
    <col min="11003" max="11003" width="41.85546875" style="126" customWidth="1"/>
    <col min="11004" max="11004" width="14.85546875" style="126" customWidth="1"/>
    <col min="11005" max="11005" width="14" style="126" bestFit="1" customWidth="1"/>
    <col min="11006" max="11006" width="14.140625" style="126" customWidth="1"/>
    <col min="11007" max="11007" width="14.5703125" style="126" bestFit="1" customWidth="1"/>
    <col min="11008" max="11008" width="9.140625" style="126"/>
    <col min="11009" max="11009" width="35" style="126" bestFit="1" customWidth="1"/>
    <col min="11010" max="11010" width="15.5703125" style="126" bestFit="1" customWidth="1"/>
    <col min="11011" max="11011" width="12.85546875" style="126" bestFit="1" customWidth="1"/>
    <col min="11012" max="11012" width="14.5703125" style="126" bestFit="1" customWidth="1"/>
    <col min="11013" max="11258" width="9.140625" style="126"/>
    <col min="11259" max="11259" width="41.85546875" style="126" customWidth="1"/>
    <col min="11260" max="11260" width="14.85546875" style="126" customWidth="1"/>
    <col min="11261" max="11261" width="14" style="126" bestFit="1" customWidth="1"/>
    <col min="11262" max="11262" width="14.140625" style="126" customWidth="1"/>
    <col min="11263" max="11263" width="14.5703125" style="126" bestFit="1" customWidth="1"/>
    <col min="11264" max="11264" width="9.140625" style="126"/>
    <col min="11265" max="11265" width="35" style="126" bestFit="1" customWidth="1"/>
    <col min="11266" max="11266" width="15.5703125" style="126" bestFit="1" customWidth="1"/>
    <col min="11267" max="11267" width="12.85546875" style="126" bestFit="1" customWidth="1"/>
    <col min="11268" max="11268" width="14.5703125" style="126" bestFit="1" customWidth="1"/>
    <col min="11269" max="11514" width="9.140625" style="126"/>
    <col min="11515" max="11515" width="41.85546875" style="126" customWidth="1"/>
    <col min="11516" max="11516" width="14.85546875" style="126" customWidth="1"/>
    <col min="11517" max="11517" width="14" style="126" bestFit="1" customWidth="1"/>
    <col min="11518" max="11518" width="14.140625" style="126" customWidth="1"/>
    <col min="11519" max="11519" width="14.5703125" style="126" bestFit="1" customWidth="1"/>
    <col min="11520" max="11520" width="9.140625" style="126"/>
    <col min="11521" max="11521" width="35" style="126" bestFit="1" customWidth="1"/>
    <col min="11522" max="11522" width="15.5703125" style="126" bestFit="1" customWidth="1"/>
    <col min="11523" max="11523" width="12.85546875" style="126" bestFit="1" customWidth="1"/>
    <col min="11524" max="11524" width="14.5703125" style="126" bestFit="1" customWidth="1"/>
    <col min="11525" max="11770" width="9.140625" style="126"/>
    <col min="11771" max="11771" width="41.85546875" style="126" customWidth="1"/>
    <col min="11772" max="11772" width="14.85546875" style="126" customWidth="1"/>
    <col min="11773" max="11773" width="14" style="126" bestFit="1" customWidth="1"/>
    <col min="11774" max="11774" width="14.140625" style="126" customWidth="1"/>
    <col min="11775" max="11775" width="14.5703125" style="126" bestFit="1" customWidth="1"/>
    <col min="11776" max="11776" width="9.140625" style="126"/>
    <col min="11777" max="11777" width="35" style="126" bestFit="1" customWidth="1"/>
    <col min="11778" max="11778" width="15.5703125" style="126" bestFit="1" customWidth="1"/>
    <col min="11779" max="11779" width="12.85546875" style="126" bestFit="1" customWidth="1"/>
    <col min="11780" max="11780" width="14.5703125" style="126" bestFit="1" customWidth="1"/>
    <col min="11781" max="12026" width="9.140625" style="126"/>
    <col min="12027" max="12027" width="41.85546875" style="126" customWidth="1"/>
    <col min="12028" max="12028" width="14.85546875" style="126" customWidth="1"/>
    <col min="12029" max="12029" width="14" style="126" bestFit="1" customWidth="1"/>
    <col min="12030" max="12030" width="14.140625" style="126" customWidth="1"/>
    <col min="12031" max="12031" width="14.5703125" style="126" bestFit="1" customWidth="1"/>
    <col min="12032" max="12032" width="9.140625" style="126"/>
    <col min="12033" max="12033" width="35" style="126" bestFit="1" customWidth="1"/>
    <col min="12034" max="12034" width="15.5703125" style="126" bestFit="1" customWidth="1"/>
    <col min="12035" max="12035" width="12.85546875" style="126" bestFit="1" customWidth="1"/>
    <col min="12036" max="12036" width="14.5703125" style="126" bestFit="1" customWidth="1"/>
    <col min="12037" max="12282" width="9.140625" style="126"/>
    <col min="12283" max="12283" width="41.85546875" style="126" customWidth="1"/>
    <col min="12284" max="12284" width="14.85546875" style="126" customWidth="1"/>
    <col min="12285" max="12285" width="14" style="126" bestFit="1" customWidth="1"/>
    <col min="12286" max="12286" width="14.140625" style="126" customWidth="1"/>
    <col min="12287" max="12287" width="14.5703125" style="126" bestFit="1" customWidth="1"/>
    <col min="12288" max="12288" width="9.140625" style="126"/>
    <col min="12289" max="12289" width="35" style="126" bestFit="1" customWidth="1"/>
    <col min="12290" max="12290" width="15.5703125" style="126" bestFit="1" customWidth="1"/>
    <col min="12291" max="12291" width="12.85546875" style="126" bestFit="1" customWidth="1"/>
    <col min="12292" max="12292" width="14.5703125" style="126" bestFit="1" customWidth="1"/>
    <col min="12293" max="12538" width="9.140625" style="126"/>
    <col min="12539" max="12539" width="41.85546875" style="126" customWidth="1"/>
    <col min="12540" max="12540" width="14.85546875" style="126" customWidth="1"/>
    <col min="12541" max="12541" width="14" style="126" bestFit="1" customWidth="1"/>
    <col min="12542" max="12542" width="14.140625" style="126" customWidth="1"/>
    <col min="12543" max="12543" width="14.5703125" style="126" bestFit="1" customWidth="1"/>
    <col min="12544" max="12544" width="9.140625" style="126"/>
    <col min="12545" max="12545" width="35" style="126" bestFit="1" customWidth="1"/>
    <col min="12546" max="12546" width="15.5703125" style="126" bestFit="1" customWidth="1"/>
    <col min="12547" max="12547" width="12.85546875" style="126" bestFit="1" customWidth="1"/>
    <col min="12548" max="12548" width="14.5703125" style="126" bestFit="1" customWidth="1"/>
    <col min="12549" max="12794" width="9.140625" style="126"/>
    <col min="12795" max="12795" width="41.85546875" style="126" customWidth="1"/>
    <col min="12796" max="12796" width="14.85546875" style="126" customWidth="1"/>
    <col min="12797" max="12797" width="14" style="126" bestFit="1" customWidth="1"/>
    <col min="12798" max="12798" width="14.140625" style="126" customWidth="1"/>
    <col min="12799" max="12799" width="14.5703125" style="126" bestFit="1" customWidth="1"/>
    <col min="12800" max="12800" width="9.140625" style="126"/>
    <col min="12801" max="12801" width="35" style="126" bestFit="1" customWidth="1"/>
    <col min="12802" max="12802" width="15.5703125" style="126" bestFit="1" customWidth="1"/>
    <col min="12803" max="12803" width="12.85546875" style="126" bestFit="1" customWidth="1"/>
    <col min="12804" max="12804" width="14.5703125" style="126" bestFit="1" customWidth="1"/>
    <col min="12805" max="13050" width="9.140625" style="126"/>
    <col min="13051" max="13051" width="41.85546875" style="126" customWidth="1"/>
    <col min="13052" max="13052" width="14.85546875" style="126" customWidth="1"/>
    <col min="13053" max="13053" width="14" style="126" bestFit="1" customWidth="1"/>
    <col min="13054" max="13054" width="14.140625" style="126" customWidth="1"/>
    <col min="13055" max="13055" width="14.5703125" style="126" bestFit="1" customWidth="1"/>
    <col min="13056" max="13056" width="9.140625" style="126"/>
    <col min="13057" max="13057" width="35" style="126" bestFit="1" customWidth="1"/>
    <col min="13058" max="13058" width="15.5703125" style="126" bestFit="1" customWidth="1"/>
    <col min="13059" max="13059" width="12.85546875" style="126" bestFit="1" customWidth="1"/>
    <col min="13060" max="13060" width="14.5703125" style="126" bestFit="1" customWidth="1"/>
    <col min="13061" max="13306" width="9.140625" style="126"/>
    <col min="13307" max="13307" width="41.85546875" style="126" customWidth="1"/>
    <col min="13308" max="13308" width="14.85546875" style="126" customWidth="1"/>
    <col min="13309" max="13309" width="14" style="126" bestFit="1" customWidth="1"/>
    <col min="13310" max="13310" width="14.140625" style="126" customWidth="1"/>
    <col min="13311" max="13311" width="14.5703125" style="126" bestFit="1" customWidth="1"/>
    <col min="13312" max="13312" width="9.140625" style="126"/>
    <col min="13313" max="13313" width="35" style="126" bestFit="1" customWidth="1"/>
    <col min="13314" max="13314" width="15.5703125" style="126" bestFit="1" customWidth="1"/>
    <col min="13315" max="13315" width="12.85546875" style="126" bestFit="1" customWidth="1"/>
    <col min="13316" max="13316" width="14.5703125" style="126" bestFit="1" customWidth="1"/>
    <col min="13317" max="13562" width="9.140625" style="126"/>
    <col min="13563" max="13563" width="41.85546875" style="126" customWidth="1"/>
    <col min="13564" max="13564" width="14.85546875" style="126" customWidth="1"/>
    <col min="13565" max="13565" width="14" style="126" bestFit="1" customWidth="1"/>
    <col min="13566" max="13566" width="14.140625" style="126" customWidth="1"/>
    <col min="13567" max="13567" width="14.5703125" style="126" bestFit="1" customWidth="1"/>
    <col min="13568" max="13568" width="9.140625" style="126"/>
    <col min="13569" max="13569" width="35" style="126" bestFit="1" customWidth="1"/>
    <col min="13570" max="13570" width="15.5703125" style="126" bestFit="1" customWidth="1"/>
    <col min="13571" max="13571" width="12.85546875" style="126" bestFit="1" customWidth="1"/>
    <col min="13572" max="13572" width="14.5703125" style="126" bestFit="1" customWidth="1"/>
    <col min="13573" max="13818" width="9.140625" style="126"/>
    <col min="13819" max="13819" width="41.85546875" style="126" customWidth="1"/>
    <col min="13820" max="13820" width="14.85546875" style="126" customWidth="1"/>
    <col min="13821" max="13821" width="14" style="126" bestFit="1" customWidth="1"/>
    <col min="13822" max="13822" width="14.140625" style="126" customWidth="1"/>
    <col min="13823" max="13823" width="14.5703125" style="126" bestFit="1" customWidth="1"/>
    <col min="13824" max="13824" width="9.140625" style="126"/>
    <col min="13825" max="13825" width="35" style="126" bestFit="1" customWidth="1"/>
    <col min="13826" max="13826" width="15.5703125" style="126" bestFit="1" customWidth="1"/>
    <col min="13827" max="13827" width="12.85546875" style="126" bestFit="1" customWidth="1"/>
    <col min="13828" max="13828" width="14.5703125" style="126" bestFit="1" customWidth="1"/>
    <col min="13829" max="14074" width="9.140625" style="126"/>
    <col min="14075" max="14075" width="41.85546875" style="126" customWidth="1"/>
    <col min="14076" max="14076" width="14.85546875" style="126" customWidth="1"/>
    <col min="14077" max="14077" width="14" style="126" bestFit="1" customWidth="1"/>
    <col min="14078" max="14078" width="14.140625" style="126" customWidth="1"/>
    <col min="14079" max="14079" width="14.5703125" style="126" bestFit="1" customWidth="1"/>
    <col min="14080" max="14080" width="9.140625" style="126"/>
    <col min="14081" max="14081" width="35" style="126" bestFit="1" customWidth="1"/>
    <col min="14082" max="14082" width="15.5703125" style="126" bestFit="1" customWidth="1"/>
    <col min="14083" max="14083" width="12.85546875" style="126" bestFit="1" customWidth="1"/>
    <col min="14084" max="14084" width="14.5703125" style="126" bestFit="1" customWidth="1"/>
    <col min="14085" max="14330" width="9.140625" style="126"/>
    <col min="14331" max="14331" width="41.85546875" style="126" customWidth="1"/>
    <col min="14332" max="14332" width="14.85546875" style="126" customWidth="1"/>
    <col min="14333" max="14333" width="14" style="126" bestFit="1" customWidth="1"/>
    <col min="14334" max="14334" width="14.140625" style="126" customWidth="1"/>
    <col min="14335" max="14335" width="14.5703125" style="126" bestFit="1" customWidth="1"/>
    <col min="14336" max="14336" width="9.140625" style="126"/>
    <col min="14337" max="14337" width="35" style="126" bestFit="1" customWidth="1"/>
    <col min="14338" max="14338" width="15.5703125" style="126" bestFit="1" customWidth="1"/>
    <col min="14339" max="14339" width="12.85546875" style="126" bestFit="1" customWidth="1"/>
    <col min="14340" max="14340" width="14.5703125" style="126" bestFit="1" customWidth="1"/>
    <col min="14341" max="14586" width="9.140625" style="126"/>
    <col min="14587" max="14587" width="41.85546875" style="126" customWidth="1"/>
    <col min="14588" max="14588" width="14.85546875" style="126" customWidth="1"/>
    <col min="14589" max="14589" width="14" style="126" bestFit="1" customWidth="1"/>
    <col min="14590" max="14590" width="14.140625" style="126" customWidth="1"/>
    <col min="14591" max="14591" width="14.5703125" style="126" bestFit="1" customWidth="1"/>
    <col min="14592" max="14592" width="9.140625" style="126"/>
    <col min="14593" max="14593" width="35" style="126" bestFit="1" customWidth="1"/>
    <col min="14594" max="14594" width="15.5703125" style="126" bestFit="1" customWidth="1"/>
    <col min="14595" max="14595" width="12.85546875" style="126" bestFit="1" customWidth="1"/>
    <col min="14596" max="14596" width="14.5703125" style="126" bestFit="1" customWidth="1"/>
    <col min="14597" max="14842" width="9.140625" style="126"/>
    <col min="14843" max="14843" width="41.85546875" style="126" customWidth="1"/>
    <col min="14844" max="14844" width="14.85546875" style="126" customWidth="1"/>
    <col min="14845" max="14845" width="14" style="126" bestFit="1" customWidth="1"/>
    <col min="14846" max="14846" width="14.140625" style="126" customWidth="1"/>
    <col min="14847" max="14847" width="14.5703125" style="126" bestFit="1" customWidth="1"/>
    <col min="14848" max="14848" width="9.140625" style="126"/>
    <col min="14849" max="14849" width="35" style="126" bestFit="1" customWidth="1"/>
    <col min="14850" max="14850" width="15.5703125" style="126" bestFit="1" customWidth="1"/>
    <col min="14851" max="14851" width="12.85546875" style="126" bestFit="1" customWidth="1"/>
    <col min="14852" max="14852" width="14.5703125" style="126" bestFit="1" customWidth="1"/>
    <col min="14853" max="15098" width="9.140625" style="126"/>
    <col min="15099" max="15099" width="41.85546875" style="126" customWidth="1"/>
    <col min="15100" max="15100" width="14.85546875" style="126" customWidth="1"/>
    <col min="15101" max="15101" width="14" style="126" bestFit="1" customWidth="1"/>
    <col min="15102" max="15102" width="14.140625" style="126" customWidth="1"/>
    <col min="15103" max="15103" width="14.5703125" style="126" bestFit="1" customWidth="1"/>
    <col min="15104" max="15104" width="9.140625" style="126"/>
    <col min="15105" max="15105" width="35" style="126" bestFit="1" customWidth="1"/>
    <col min="15106" max="15106" width="15.5703125" style="126" bestFit="1" customWidth="1"/>
    <col min="15107" max="15107" width="12.85546875" style="126" bestFit="1" customWidth="1"/>
    <col min="15108" max="15108" width="14.5703125" style="126" bestFit="1" customWidth="1"/>
    <col min="15109" max="15354" width="9.140625" style="126"/>
    <col min="15355" max="15355" width="41.85546875" style="126" customWidth="1"/>
    <col min="15356" max="15356" width="14.85546875" style="126" customWidth="1"/>
    <col min="15357" max="15357" width="14" style="126" bestFit="1" customWidth="1"/>
    <col min="15358" max="15358" width="14.140625" style="126" customWidth="1"/>
    <col min="15359" max="15359" width="14.5703125" style="126" bestFit="1" customWidth="1"/>
    <col min="15360" max="15360" width="9.140625" style="126"/>
    <col min="15361" max="15361" width="35" style="126" bestFit="1" customWidth="1"/>
    <col min="15362" max="15362" width="15.5703125" style="126" bestFit="1" customWidth="1"/>
    <col min="15363" max="15363" width="12.85546875" style="126" bestFit="1" customWidth="1"/>
    <col min="15364" max="15364" width="14.5703125" style="126" bestFit="1" customWidth="1"/>
    <col min="15365" max="15610" width="9.140625" style="126"/>
    <col min="15611" max="15611" width="41.85546875" style="126" customWidth="1"/>
    <col min="15612" max="15612" width="14.85546875" style="126" customWidth="1"/>
    <col min="15613" max="15613" width="14" style="126" bestFit="1" customWidth="1"/>
    <col min="15614" max="15614" width="14.140625" style="126" customWidth="1"/>
    <col min="15615" max="15615" width="14.5703125" style="126" bestFit="1" customWidth="1"/>
    <col min="15616" max="15616" width="9.140625" style="126"/>
    <col min="15617" max="15617" width="35" style="126" bestFit="1" customWidth="1"/>
    <col min="15618" max="15618" width="15.5703125" style="126" bestFit="1" customWidth="1"/>
    <col min="15619" max="15619" width="12.85546875" style="126" bestFit="1" customWidth="1"/>
    <col min="15620" max="15620" width="14.5703125" style="126" bestFit="1" customWidth="1"/>
    <col min="15621" max="15866" width="9.140625" style="126"/>
    <col min="15867" max="15867" width="41.85546875" style="126" customWidth="1"/>
    <col min="15868" max="15868" width="14.85546875" style="126" customWidth="1"/>
    <col min="15869" max="15869" width="14" style="126" bestFit="1" customWidth="1"/>
    <col min="15870" max="15870" width="14.140625" style="126" customWidth="1"/>
    <col min="15871" max="15871" width="14.5703125" style="126" bestFit="1" customWidth="1"/>
    <col min="15872" max="15872" width="9.140625" style="126"/>
    <col min="15873" max="15873" width="35" style="126" bestFit="1" customWidth="1"/>
    <col min="15874" max="15874" width="15.5703125" style="126" bestFit="1" customWidth="1"/>
    <col min="15875" max="15875" width="12.85546875" style="126" bestFit="1" customWidth="1"/>
    <col min="15876" max="15876" width="14.5703125" style="126" bestFit="1" customWidth="1"/>
    <col min="15877" max="16122" width="9.140625" style="126"/>
    <col min="16123" max="16123" width="41.85546875" style="126" customWidth="1"/>
    <col min="16124" max="16124" width="14.85546875" style="126" customWidth="1"/>
    <col min="16125" max="16125" width="14" style="126" bestFit="1" customWidth="1"/>
    <col min="16126" max="16126" width="14.140625" style="126" customWidth="1"/>
    <col min="16127" max="16127" width="14.5703125" style="126" bestFit="1" customWidth="1"/>
    <col min="16128" max="16128" width="9.140625" style="126"/>
    <col min="16129" max="16129" width="35" style="126" bestFit="1" customWidth="1"/>
    <col min="16130" max="16130" width="15.5703125" style="126" bestFit="1" customWidth="1"/>
    <col min="16131" max="16131" width="12.85546875" style="126" bestFit="1" customWidth="1"/>
    <col min="16132" max="16132" width="14.5703125" style="126" bestFit="1" customWidth="1"/>
    <col min="16133" max="16384" width="9.140625" style="126"/>
  </cols>
  <sheetData>
    <row r="1" spans="1:4" ht="16.5" customHeight="1" x14ac:dyDescent="0.2">
      <c r="A1" s="425" t="s">
        <v>375</v>
      </c>
      <c r="B1" s="425"/>
      <c r="C1" s="425"/>
      <c r="D1" s="425"/>
    </row>
    <row r="2" spans="1:4" ht="16.5" customHeight="1" x14ac:dyDescent="0.2">
      <c r="A2" s="127"/>
      <c r="B2" s="127"/>
      <c r="C2" s="127"/>
    </row>
    <row r="3" spans="1:4" ht="15.75" customHeight="1" x14ac:dyDescent="0.2">
      <c r="A3" s="426" t="s">
        <v>439</v>
      </c>
      <c r="B3" s="426"/>
      <c r="C3" s="426"/>
      <c r="D3" s="426"/>
    </row>
    <row r="4" spans="1:4" ht="16.5" customHeight="1" x14ac:dyDescent="0.2">
      <c r="A4" s="445" t="s">
        <v>146</v>
      </c>
      <c r="B4" s="433" t="s">
        <v>440</v>
      </c>
      <c r="C4" s="433" t="s">
        <v>441</v>
      </c>
      <c r="D4" s="433" t="s">
        <v>442</v>
      </c>
    </row>
    <row r="5" spans="1:4" ht="16.5" customHeight="1" x14ac:dyDescent="0.2">
      <c r="A5" s="446"/>
      <c r="B5" s="448"/>
      <c r="C5" s="448"/>
      <c r="D5" s="448"/>
    </row>
    <row r="6" spans="1:4" ht="22.5" customHeight="1" x14ac:dyDescent="0.2">
      <c r="A6" s="446"/>
      <c r="B6" s="448"/>
      <c r="C6" s="448"/>
      <c r="D6" s="448"/>
    </row>
    <row r="7" spans="1:4" ht="6.75" hidden="1" customHeight="1" x14ac:dyDescent="0.2">
      <c r="A7" s="447"/>
      <c r="B7" s="449"/>
      <c r="C7" s="449"/>
      <c r="D7" s="449"/>
    </row>
    <row r="8" spans="1:4" ht="16.5" x14ac:dyDescent="0.25">
      <c r="A8" s="104"/>
      <c r="B8" s="105" t="s">
        <v>427</v>
      </c>
      <c r="C8" s="105" t="s">
        <v>427</v>
      </c>
      <c r="D8" s="105" t="s">
        <v>427</v>
      </c>
    </row>
    <row r="9" spans="1:4" ht="16.5" x14ac:dyDescent="0.25">
      <c r="A9" s="104" t="s">
        <v>443</v>
      </c>
      <c r="B9" s="105"/>
      <c r="C9" s="105"/>
      <c r="D9" s="130">
        <v>8970129.6899999995</v>
      </c>
    </row>
    <row r="10" spans="1:4" ht="24.95" customHeight="1" x14ac:dyDescent="0.3">
      <c r="A10" s="132">
        <v>44287</v>
      </c>
      <c r="B10" s="128">
        <f>D9*7.8%/365*30</f>
        <v>57507.132807123286</v>
      </c>
      <c r="C10" s="128">
        <v>860000</v>
      </c>
      <c r="D10" s="131">
        <f t="shared" ref="D10:D20" si="0">D9+B10-C10</f>
        <v>8167636.822807122</v>
      </c>
    </row>
    <row r="11" spans="1:4" ht="24.95" customHeight="1" x14ac:dyDescent="0.3">
      <c r="A11" s="133">
        <v>44317</v>
      </c>
      <c r="B11" s="128">
        <f>D10*7.8%/365*30</f>
        <v>52362.384014708674</v>
      </c>
      <c r="C11" s="128">
        <v>860000</v>
      </c>
      <c r="D11" s="131">
        <f t="shared" si="0"/>
        <v>7359999.2068218309</v>
      </c>
    </row>
    <row r="12" spans="1:4" ht="24.95" customHeight="1" x14ac:dyDescent="0.3">
      <c r="A12" s="132">
        <v>44348</v>
      </c>
      <c r="B12" s="128">
        <f>D11*7.8%/365*30</f>
        <v>47184.652449213929</v>
      </c>
      <c r="C12" s="128">
        <v>860000</v>
      </c>
      <c r="D12" s="131">
        <f t="shared" si="0"/>
        <v>6547183.8592710448</v>
      </c>
    </row>
    <row r="13" spans="1:4" ht="24.95" customHeight="1" x14ac:dyDescent="0.3">
      <c r="A13" s="133">
        <v>44378</v>
      </c>
      <c r="B13" s="128">
        <f>D12*7.8%/365*30</f>
        <v>41973.726659436288</v>
      </c>
      <c r="C13" s="128">
        <v>860000</v>
      </c>
      <c r="D13" s="134">
        <f t="shared" si="0"/>
        <v>5729157.5859304816</v>
      </c>
    </row>
    <row r="14" spans="1:4" ht="24.95" customHeight="1" x14ac:dyDescent="0.3">
      <c r="A14" s="132">
        <v>44409</v>
      </c>
      <c r="B14" s="128">
        <f t="shared" ref="B14:B20" si="1">D13*7.8%/365*30</f>
        <v>36729.393838568016</v>
      </c>
      <c r="C14" s="128">
        <v>860000</v>
      </c>
      <c r="D14" s="134">
        <f t="shared" si="0"/>
        <v>4905886.9797690492</v>
      </c>
    </row>
    <row r="15" spans="1:4" ht="16.5" x14ac:dyDescent="0.3">
      <c r="A15" s="133">
        <v>44440</v>
      </c>
      <c r="B15" s="128">
        <f t="shared" si="1"/>
        <v>31451.439815505688</v>
      </c>
      <c r="C15" s="128">
        <v>860000</v>
      </c>
      <c r="D15" s="134">
        <f t="shared" si="0"/>
        <v>4077338.4195845546</v>
      </c>
    </row>
    <row r="16" spans="1:4" ht="16.5" x14ac:dyDescent="0.3">
      <c r="A16" s="132">
        <v>44470</v>
      </c>
      <c r="B16" s="128">
        <f t="shared" si="1"/>
        <v>26139.649046103717</v>
      </c>
      <c r="C16" s="128">
        <v>860000</v>
      </c>
      <c r="D16" s="134">
        <f t="shared" si="0"/>
        <v>3243478.0686306586</v>
      </c>
    </row>
    <row r="17" spans="1:4" ht="16.5" x14ac:dyDescent="0.3">
      <c r="A17" s="133">
        <v>44501</v>
      </c>
      <c r="B17" s="128">
        <f t="shared" si="1"/>
        <v>20793.804604371893</v>
      </c>
      <c r="C17" s="128">
        <v>860000</v>
      </c>
      <c r="D17" s="134">
        <f t="shared" si="0"/>
        <v>2404271.8732350306</v>
      </c>
    </row>
    <row r="18" spans="1:4" ht="16.5" x14ac:dyDescent="0.3">
      <c r="A18" s="132">
        <v>44531</v>
      </c>
      <c r="B18" s="128">
        <f t="shared" si="1"/>
        <v>15413.688173616361</v>
      </c>
      <c r="C18" s="128">
        <v>860000</v>
      </c>
      <c r="D18" s="134">
        <f t="shared" si="0"/>
        <v>1559685.5614086469</v>
      </c>
    </row>
    <row r="19" spans="1:4" ht="16.5" x14ac:dyDescent="0.3">
      <c r="A19" s="133">
        <v>44562</v>
      </c>
      <c r="B19" s="128">
        <f t="shared" si="1"/>
        <v>9999.0800375239269</v>
      </c>
      <c r="C19" s="128">
        <v>860000</v>
      </c>
      <c r="D19" s="134">
        <f t="shared" si="0"/>
        <v>709684.64144617086</v>
      </c>
    </row>
    <row r="20" spans="1:4" ht="16.5" x14ac:dyDescent="0.3">
      <c r="A20" s="132">
        <v>44593</v>
      </c>
      <c r="B20" s="128">
        <f t="shared" si="1"/>
        <v>4549.7590711891498</v>
      </c>
      <c r="C20" s="128">
        <v>714234.4</v>
      </c>
      <c r="D20" s="134">
        <f t="shared" si="0"/>
        <v>5.1735993474721909E-4</v>
      </c>
    </row>
    <row r="21" spans="1:4" ht="16.5" x14ac:dyDescent="0.3">
      <c r="A21" s="133"/>
      <c r="B21" s="128"/>
      <c r="C21" s="128"/>
      <c r="D21" s="105"/>
    </row>
    <row r="22" spans="1:4" ht="16.5" x14ac:dyDescent="0.3">
      <c r="A22" s="133" t="s">
        <v>38</v>
      </c>
      <c r="B22" s="129">
        <f>SUM(B10:B21)</f>
        <v>344104.71051736095</v>
      </c>
      <c r="C22" s="304"/>
      <c r="D22" s="105"/>
    </row>
    <row r="23" spans="1:4" x14ac:dyDescent="0.2">
      <c r="A23" s="30"/>
      <c r="B23" s="30"/>
      <c r="C23" s="30"/>
    </row>
    <row r="24" spans="1:4" ht="15.75" customHeight="1" x14ac:dyDescent="0.2">
      <c r="A24" s="426" t="s">
        <v>444</v>
      </c>
      <c r="B24" s="426"/>
      <c r="C24" s="426"/>
      <c r="D24" s="426"/>
    </row>
    <row r="25" spans="1:4" ht="12.75" customHeight="1" x14ac:dyDescent="0.2">
      <c r="A25" s="445" t="s">
        <v>146</v>
      </c>
      <c r="B25" s="433" t="s">
        <v>445</v>
      </c>
      <c r="C25" s="433" t="s">
        <v>441</v>
      </c>
      <c r="D25" s="433" t="s">
        <v>442</v>
      </c>
    </row>
    <row r="26" spans="1:4" ht="12.75" customHeight="1" x14ac:dyDescent="0.2">
      <c r="A26" s="446"/>
      <c r="B26" s="448"/>
      <c r="C26" s="448"/>
      <c r="D26" s="448"/>
    </row>
    <row r="27" spans="1:4" ht="12.75" customHeight="1" x14ac:dyDescent="0.2">
      <c r="A27" s="446"/>
      <c r="B27" s="448"/>
      <c r="C27" s="448"/>
      <c r="D27" s="448"/>
    </row>
    <row r="28" spans="1:4" ht="12.75" customHeight="1" x14ac:dyDescent="0.2">
      <c r="A28" s="447"/>
      <c r="B28" s="449"/>
      <c r="C28" s="449"/>
      <c r="D28" s="449"/>
    </row>
    <row r="29" spans="1:4" ht="16.5" x14ac:dyDescent="0.25">
      <c r="A29" s="104"/>
      <c r="B29" s="105" t="s">
        <v>427</v>
      </c>
      <c r="C29" s="105" t="s">
        <v>427</v>
      </c>
      <c r="D29" s="105" t="s">
        <v>427</v>
      </c>
    </row>
    <row r="30" spans="1:4" ht="16.5" x14ac:dyDescent="0.3">
      <c r="A30" s="104" t="s">
        <v>443</v>
      </c>
      <c r="B30" s="128"/>
      <c r="C30" s="128"/>
      <c r="D30" s="135">
        <v>29377784.91</v>
      </c>
    </row>
    <row r="31" spans="1:4" ht="16.5" x14ac:dyDescent="0.3">
      <c r="A31" s="132">
        <v>44287</v>
      </c>
      <c r="B31" s="128">
        <f t="shared" ref="B31:B41" si="2">D30*3.2%/365*30</f>
        <v>77267.598667397266</v>
      </c>
      <c r="C31" s="128">
        <v>2891000</v>
      </c>
      <c r="D31" s="131">
        <f t="shared" ref="D31:D41" si="3">D30+B31-C31</f>
        <v>26564052.508667398</v>
      </c>
    </row>
    <row r="32" spans="1:4" ht="16.5" x14ac:dyDescent="0.3">
      <c r="A32" s="133">
        <v>44317</v>
      </c>
      <c r="B32" s="128">
        <f t="shared" si="2"/>
        <v>69867.097009097823</v>
      </c>
      <c r="C32" s="128">
        <v>2891000</v>
      </c>
      <c r="D32" s="131">
        <f t="shared" si="3"/>
        <v>23742919.605676495</v>
      </c>
    </row>
    <row r="33" spans="1:4" ht="16.5" x14ac:dyDescent="0.3">
      <c r="A33" s="132">
        <v>44348</v>
      </c>
      <c r="B33" s="128">
        <f t="shared" si="2"/>
        <v>62447.131017669686</v>
      </c>
      <c r="C33" s="128">
        <v>2891000</v>
      </c>
      <c r="D33" s="131">
        <f t="shared" si="3"/>
        <v>20914366.736694165</v>
      </c>
    </row>
    <row r="34" spans="1:4" ht="16.5" x14ac:dyDescent="0.3">
      <c r="A34" s="133">
        <v>44378</v>
      </c>
      <c r="B34" s="128">
        <f t="shared" si="2"/>
        <v>55007.649499250416</v>
      </c>
      <c r="C34" s="128">
        <v>2891000</v>
      </c>
      <c r="D34" s="131">
        <f t="shared" si="3"/>
        <v>18078374.386193413</v>
      </c>
    </row>
    <row r="35" spans="1:4" ht="16.5" x14ac:dyDescent="0.3">
      <c r="A35" s="132">
        <v>44409</v>
      </c>
      <c r="B35" s="128">
        <f t="shared" si="2"/>
        <v>47548.601125330621</v>
      </c>
      <c r="C35" s="128">
        <v>2891000</v>
      </c>
      <c r="D35" s="131">
        <f t="shared" si="3"/>
        <v>15234922.987318743</v>
      </c>
    </row>
    <row r="36" spans="1:4" ht="16.5" x14ac:dyDescent="0.3">
      <c r="A36" s="133">
        <v>44440</v>
      </c>
      <c r="B36" s="128">
        <f t="shared" si="2"/>
        <v>40069.934432399983</v>
      </c>
      <c r="C36" s="128">
        <v>2891000</v>
      </c>
      <c r="D36" s="131">
        <f t="shared" si="3"/>
        <v>12383992.921751143</v>
      </c>
    </row>
    <row r="37" spans="1:4" ht="16.5" x14ac:dyDescent="0.3">
      <c r="A37" s="132">
        <v>44470</v>
      </c>
      <c r="B37" s="128">
        <f t="shared" si="2"/>
        <v>32571.597821592048</v>
      </c>
      <c r="C37" s="128">
        <v>2891000</v>
      </c>
      <c r="D37" s="131">
        <f t="shared" si="3"/>
        <v>9525564.5195727348</v>
      </c>
    </row>
    <row r="38" spans="1:4" ht="16.5" x14ac:dyDescent="0.3">
      <c r="A38" s="133">
        <v>44501</v>
      </c>
      <c r="B38" s="128">
        <f t="shared" si="2"/>
        <v>25053.539558328292</v>
      </c>
      <c r="C38" s="128">
        <v>2891000</v>
      </c>
      <c r="D38" s="131">
        <f t="shared" si="3"/>
        <v>6659618.0591310635</v>
      </c>
    </row>
    <row r="39" spans="1:4" ht="16.5" x14ac:dyDescent="0.3">
      <c r="A39" s="132">
        <v>44531</v>
      </c>
      <c r="B39" s="128">
        <f t="shared" si="2"/>
        <v>17515.707771961155</v>
      </c>
      <c r="C39" s="128">
        <v>2891000</v>
      </c>
      <c r="D39" s="131">
        <f t="shared" si="3"/>
        <v>3786133.7669030251</v>
      </c>
    </row>
    <row r="40" spans="1:4" ht="16.5" x14ac:dyDescent="0.3">
      <c r="A40" s="133">
        <v>44562</v>
      </c>
      <c r="B40" s="128">
        <f t="shared" si="2"/>
        <v>9958.0504554161762</v>
      </c>
      <c r="C40" s="128">
        <v>2891000</v>
      </c>
      <c r="D40" s="131">
        <f t="shared" si="3"/>
        <v>905091.81735844119</v>
      </c>
    </row>
    <row r="41" spans="1:4" ht="16.5" x14ac:dyDescent="0.3">
      <c r="A41" s="132">
        <v>44593</v>
      </c>
      <c r="B41" s="128">
        <f t="shared" si="2"/>
        <v>2380.5154648331604</v>
      </c>
      <c r="C41" s="129">
        <f>905091.82+2380.51</f>
        <v>907472.33</v>
      </c>
      <c r="D41" s="131">
        <f t="shared" si="3"/>
        <v>2.8232743497937918E-3</v>
      </c>
    </row>
    <row r="42" spans="1:4" ht="16.5" x14ac:dyDescent="0.3">
      <c r="A42" s="133"/>
      <c r="B42" s="129"/>
      <c r="C42" s="129"/>
      <c r="D42" s="105"/>
    </row>
    <row r="43" spans="1:4" ht="16.5" x14ac:dyDescent="0.3">
      <c r="A43" s="296" t="s">
        <v>38</v>
      </c>
      <c r="B43" s="129">
        <f>SUM(B31:B41)</f>
        <v>439687.42282327666</v>
      </c>
      <c r="C43" s="129"/>
      <c r="D43" s="105"/>
    </row>
    <row r="44" spans="1:4" x14ac:dyDescent="0.2">
      <c r="A44" s="30"/>
      <c r="B44" s="30"/>
      <c r="C44" s="30"/>
    </row>
    <row r="45" spans="1:4" x14ac:dyDescent="0.2">
      <c r="A45" s="30"/>
      <c r="B45" s="30"/>
      <c r="C45" s="30"/>
    </row>
    <row r="46" spans="1:4" ht="15.75" customHeight="1" x14ac:dyDescent="0.2">
      <c r="A46" s="426" t="s">
        <v>446</v>
      </c>
      <c r="B46" s="426"/>
      <c r="C46" s="426"/>
      <c r="D46" s="426"/>
    </row>
    <row r="47" spans="1:4" ht="12.75" customHeight="1" x14ac:dyDescent="0.2">
      <c r="A47" s="445" t="s">
        <v>146</v>
      </c>
      <c r="B47" s="433" t="s">
        <v>447</v>
      </c>
      <c r="C47" s="433" t="s">
        <v>441</v>
      </c>
      <c r="D47" s="433" t="s">
        <v>442</v>
      </c>
    </row>
    <row r="48" spans="1:4" ht="12.75" customHeight="1" x14ac:dyDescent="0.2">
      <c r="A48" s="446"/>
      <c r="B48" s="448"/>
      <c r="C48" s="448"/>
      <c r="D48" s="448"/>
    </row>
    <row r="49" spans="1:4" ht="12.75" customHeight="1" x14ac:dyDescent="0.2">
      <c r="A49" s="446"/>
      <c r="B49" s="448"/>
      <c r="C49" s="448"/>
      <c r="D49" s="448"/>
    </row>
    <row r="50" spans="1:4" ht="12.75" customHeight="1" x14ac:dyDescent="0.2">
      <c r="A50" s="447"/>
      <c r="B50" s="449"/>
      <c r="C50" s="449"/>
      <c r="D50" s="449"/>
    </row>
    <row r="51" spans="1:4" ht="16.5" x14ac:dyDescent="0.25">
      <c r="A51" s="104"/>
      <c r="B51" s="105" t="s">
        <v>427</v>
      </c>
      <c r="C51" s="105" t="s">
        <v>427</v>
      </c>
      <c r="D51" s="105" t="s">
        <v>427</v>
      </c>
    </row>
    <row r="52" spans="1:4" ht="16.5" x14ac:dyDescent="0.25">
      <c r="A52" s="104" t="s">
        <v>443</v>
      </c>
      <c r="B52" s="105"/>
      <c r="C52" s="105"/>
      <c r="D52" s="130">
        <v>15258317.67</v>
      </c>
    </row>
    <row r="53" spans="1:4" ht="16.5" x14ac:dyDescent="0.25">
      <c r="A53" s="132">
        <v>44287</v>
      </c>
      <c r="B53" s="131">
        <f t="shared" ref="B53:B62" si="4">D52*9.75%/365*30</f>
        <v>122275.55941027399</v>
      </c>
      <c r="C53" s="130">
        <v>1700000</v>
      </c>
      <c r="D53" s="131">
        <f t="shared" ref="D53:D62" si="5">D52+B53-C53</f>
        <v>13680593.229410274</v>
      </c>
    </row>
    <row r="54" spans="1:4" ht="16.5" x14ac:dyDescent="0.25">
      <c r="A54" s="133">
        <v>44317</v>
      </c>
      <c r="B54" s="131">
        <f t="shared" si="4"/>
        <v>109632.15122198644</v>
      </c>
      <c r="C54" s="130">
        <v>1700000</v>
      </c>
      <c r="D54" s="131">
        <f t="shared" si="5"/>
        <v>12090225.380632261</v>
      </c>
    </row>
    <row r="55" spans="1:4" ht="16.5" x14ac:dyDescent="0.25">
      <c r="A55" s="132">
        <v>44348</v>
      </c>
      <c r="B55" s="131">
        <f t="shared" si="4"/>
        <v>96887.422570820185</v>
      </c>
      <c r="C55" s="130">
        <v>1700000</v>
      </c>
      <c r="D55" s="131">
        <f t="shared" si="5"/>
        <v>10487112.803203082</v>
      </c>
    </row>
    <row r="56" spans="1:4" ht="16.5" x14ac:dyDescent="0.25">
      <c r="A56" s="133">
        <v>44378</v>
      </c>
      <c r="B56" s="131">
        <f t="shared" si="4"/>
        <v>84040.561505120582</v>
      </c>
      <c r="C56" s="130">
        <v>1700000</v>
      </c>
      <c r="D56" s="131">
        <f t="shared" si="5"/>
        <v>8871153.364708202</v>
      </c>
    </row>
    <row r="57" spans="1:4" ht="16.5" x14ac:dyDescent="0.25">
      <c r="A57" s="132">
        <v>44409</v>
      </c>
      <c r="B57" s="131">
        <f t="shared" si="4"/>
        <v>71090.749566497223</v>
      </c>
      <c r="C57" s="130">
        <v>1700000</v>
      </c>
      <c r="D57" s="131">
        <f t="shared" si="5"/>
        <v>7242244.1142746992</v>
      </c>
    </row>
    <row r="58" spans="1:4" ht="16.5" x14ac:dyDescent="0.25">
      <c r="A58" s="133">
        <v>44440</v>
      </c>
      <c r="B58" s="131">
        <f t="shared" si="4"/>
        <v>58037.161737680814</v>
      </c>
      <c r="C58" s="130">
        <v>1700000</v>
      </c>
      <c r="D58" s="131">
        <f t="shared" si="5"/>
        <v>5600281.2760123797</v>
      </c>
    </row>
    <row r="59" spans="1:4" ht="16.5" x14ac:dyDescent="0.25">
      <c r="A59" s="132">
        <v>44470</v>
      </c>
      <c r="B59" s="131">
        <f t="shared" si="4"/>
        <v>44878.966389962225</v>
      </c>
      <c r="C59" s="130">
        <v>1700000</v>
      </c>
      <c r="D59" s="131">
        <f t="shared" si="5"/>
        <v>3945160.2424023421</v>
      </c>
    </row>
    <row r="60" spans="1:4" ht="16.5" x14ac:dyDescent="0.25">
      <c r="A60" s="133">
        <v>44501</v>
      </c>
      <c r="B60" s="131">
        <f t="shared" si="4"/>
        <v>31615.32523021055</v>
      </c>
      <c r="C60" s="130">
        <v>1700000</v>
      </c>
      <c r="D60" s="131">
        <f t="shared" si="5"/>
        <v>2276775.5676325527</v>
      </c>
    </row>
    <row r="61" spans="1:4" ht="16.5" x14ac:dyDescent="0.25">
      <c r="A61" s="132">
        <v>44531</v>
      </c>
      <c r="B61" s="131">
        <f t="shared" si="4"/>
        <v>18245.393247466349</v>
      </c>
      <c r="C61" s="130">
        <v>1700000</v>
      </c>
      <c r="D61" s="131">
        <f t="shared" si="5"/>
        <v>595020.96088001924</v>
      </c>
    </row>
    <row r="62" spans="1:4" ht="16.5" x14ac:dyDescent="0.25">
      <c r="A62" s="305">
        <v>44562</v>
      </c>
      <c r="B62" s="306">
        <f t="shared" si="4"/>
        <v>4768.3186591070034</v>
      </c>
      <c r="C62" s="137">
        <v>599789.28</v>
      </c>
      <c r="D62" s="306">
        <f t="shared" si="5"/>
        <v>-4.6087382361292839E-4</v>
      </c>
    </row>
    <row r="63" spans="1:4" ht="16.5" x14ac:dyDescent="0.2">
      <c r="A63" s="307">
        <v>44593</v>
      </c>
      <c r="B63" s="308"/>
      <c r="C63" s="308"/>
      <c r="D63" s="308"/>
    </row>
    <row r="64" spans="1:4" ht="16.5" x14ac:dyDescent="0.2">
      <c r="A64" s="309"/>
      <c r="B64" s="308"/>
      <c r="C64" s="308"/>
      <c r="D64" s="308"/>
    </row>
    <row r="65" spans="1:4" ht="16.5" x14ac:dyDescent="0.2">
      <c r="A65" s="310" t="s">
        <v>38</v>
      </c>
      <c r="B65" s="302">
        <f>SUM(B53:B62)</f>
        <v>641471.60953912535</v>
      </c>
      <c r="C65" s="301"/>
      <c r="D65" s="301"/>
    </row>
    <row r="68" spans="1:4" x14ac:dyDescent="0.2">
      <c r="A68" s="141" t="s">
        <v>448</v>
      </c>
      <c r="B68" s="311">
        <f>B65+B43+B22</f>
        <v>1425263.7428797628</v>
      </c>
    </row>
    <row r="71" spans="1:4" ht="15.75" x14ac:dyDescent="0.2">
      <c r="A71" s="426" t="s">
        <v>708</v>
      </c>
      <c r="B71" s="426"/>
      <c r="C71" s="426"/>
      <c r="D71" s="426"/>
    </row>
    <row r="72" spans="1:4" x14ac:dyDescent="0.2">
      <c r="A72" s="445" t="s">
        <v>146</v>
      </c>
      <c r="B72" s="433" t="s">
        <v>709</v>
      </c>
      <c r="C72" s="433" t="s">
        <v>441</v>
      </c>
      <c r="D72" s="433" t="s">
        <v>442</v>
      </c>
    </row>
    <row r="73" spans="1:4" x14ac:dyDescent="0.2">
      <c r="A73" s="446"/>
      <c r="B73" s="448"/>
      <c r="C73" s="448"/>
      <c r="D73" s="448"/>
    </row>
    <row r="74" spans="1:4" x14ac:dyDescent="0.2">
      <c r="A74" s="446"/>
      <c r="B74" s="448"/>
      <c r="C74" s="448"/>
      <c r="D74" s="448"/>
    </row>
    <row r="75" spans="1:4" x14ac:dyDescent="0.2">
      <c r="A75" s="447"/>
      <c r="B75" s="449"/>
      <c r="C75" s="449"/>
      <c r="D75" s="449"/>
    </row>
    <row r="76" spans="1:4" ht="16.5" x14ac:dyDescent="0.25">
      <c r="A76" s="104"/>
      <c r="B76" s="105" t="s">
        <v>427</v>
      </c>
      <c r="C76" s="105" t="s">
        <v>427</v>
      </c>
      <c r="D76" s="105" t="s">
        <v>427</v>
      </c>
    </row>
    <row r="77" spans="1:4" ht="16.5" x14ac:dyDescent="0.25">
      <c r="A77" s="104" t="s">
        <v>443</v>
      </c>
      <c r="B77" s="105"/>
      <c r="C77" s="105"/>
      <c r="D77" s="130" t="e">
        <f>#REF!</f>
        <v>#REF!</v>
      </c>
    </row>
    <row r="78" spans="1:4" ht="16.5" x14ac:dyDescent="0.25">
      <c r="A78" s="132">
        <v>44287</v>
      </c>
      <c r="B78" s="131">
        <v>2202704</v>
      </c>
      <c r="C78" s="130"/>
      <c r="D78" s="131"/>
    </row>
    <row r="79" spans="1:4" ht="16.5" x14ac:dyDescent="0.25">
      <c r="A79" s="133">
        <v>44317</v>
      </c>
      <c r="B79" s="131">
        <v>2276128</v>
      </c>
      <c r="C79" s="130"/>
      <c r="D79" s="131"/>
    </row>
    <row r="80" spans="1:4" ht="16.5" x14ac:dyDescent="0.25">
      <c r="A80" s="132">
        <v>44348</v>
      </c>
      <c r="B80" s="131">
        <v>2202704</v>
      </c>
      <c r="C80" s="130"/>
      <c r="D80" s="131"/>
    </row>
    <row r="81" spans="1:5" ht="16.5" x14ac:dyDescent="0.25">
      <c r="A81" s="133">
        <v>44378</v>
      </c>
      <c r="B81" s="131">
        <v>2276128</v>
      </c>
      <c r="C81" s="130"/>
      <c r="D81" s="131"/>
    </row>
    <row r="82" spans="1:5" ht="16.5" x14ac:dyDescent="0.25">
      <c r="A82" s="132">
        <v>44409</v>
      </c>
      <c r="B82" s="131">
        <v>2276128</v>
      </c>
      <c r="C82" s="130"/>
      <c r="D82" s="131"/>
    </row>
    <row r="83" spans="1:5" ht="16.5" x14ac:dyDescent="0.25">
      <c r="A83" s="133">
        <v>44440</v>
      </c>
      <c r="B83" s="131">
        <v>2202704</v>
      </c>
      <c r="C83" s="130"/>
      <c r="D83" s="131"/>
    </row>
    <row r="84" spans="1:5" ht="16.5" x14ac:dyDescent="0.25">
      <c r="A84" s="132">
        <v>44470</v>
      </c>
      <c r="B84" s="131">
        <v>2276128</v>
      </c>
      <c r="C84" s="130"/>
      <c r="D84" s="131"/>
    </row>
    <row r="85" spans="1:5" ht="16.5" x14ac:dyDescent="0.25">
      <c r="A85" s="133">
        <v>44501</v>
      </c>
      <c r="B85" s="131">
        <v>2202704</v>
      </c>
      <c r="C85" s="130"/>
      <c r="D85" s="131"/>
    </row>
    <row r="86" spans="1:5" ht="16.5" x14ac:dyDescent="0.25">
      <c r="A86" s="132">
        <v>44531</v>
      </c>
      <c r="B86" s="131">
        <v>2276128</v>
      </c>
      <c r="C86" s="130"/>
      <c r="D86" s="131"/>
    </row>
    <row r="87" spans="1:5" ht="16.5" x14ac:dyDescent="0.25">
      <c r="A87" s="133">
        <v>44562</v>
      </c>
      <c r="B87" s="131">
        <v>2276128</v>
      </c>
      <c r="C87" s="142"/>
      <c r="D87" s="131"/>
    </row>
    <row r="88" spans="1:5" ht="16.5" x14ac:dyDescent="0.2">
      <c r="A88" s="132">
        <v>44593</v>
      </c>
      <c r="B88" s="143">
        <f>B87/31*28</f>
        <v>2055857.5483870967</v>
      </c>
      <c r="C88" s="144"/>
      <c r="D88" s="144"/>
    </row>
    <row r="89" spans="1:5" ht="16.5" x14ac:dyDescent="0.25">
      <c r="A89" s="133">
        <v>44621</v>
      </c>
      <c r="B89" s="145">
        <v>2276128</v>
      </c>
      <c r="C89" s="144"/>
      <c r="D89" s="144"/>
    </row>
    <row r="90" spans="1:5" ht="16.5" x14ac:dyDescent="0.2">
      <c r="A90" s="296" t="s">
        <v>38</v>
      </c>
      <c r="B90" s="297">
        <f>SUM(B78:B89)</f>
        <v>26799569.548387095</v>
      </c>
      <c r="C90" s="144"/>
      <c r="D90" s="144"/>
      <c r="E90" s="311">
        <f>B90+B68</f>
        <v>28224833.291266859</v>
      </c>
    </row>
    <row r="92" spans="1:5" ht="15.75" x14ac:dyDescent="0.2">
      <c r="A92" s="426" t="s">
        <v>449</v>
      </c>
      <c r="B92" s="426"/>
      <c r="C92" s="426"/>
      <c r="D92" s="426"/>
    </row>
    <row r="93" spans="1:5" x14ac:dyDescent="0.2">
      <c r="A93" s="445" t="s">
        <v>146</v>
      </c>
      <c r="B93" s="433" t="s">
        <v>709</v>
      </c>
      <c r="C93" s="433" t="s">
        <v>441</v>
      </c>
      <c r="D93" s="433" t="s">
        <v>442</v>
      </c>
    </row>
    <row r="94" spans="1:5" x14ac:dyDescent="0.2">
      <c r="A94" s="446"/>
      <c r="B94" s="448"/>
      <c r="C94" s="448"/>
      <c r="D94" s="448"/>
    </row>
    <row r="95" spans="1:5" x14ac:dyDescent="0.2">
      <c r="A95" s="446"/>
      <c r="B95" s="448"/>
      <c r="C95" s="448"/>
      <c r="D95" s="448"/>
    </row>
    <row r="96" spans="1:5" x14ac:dyDescent="0.2">
      <c r="A96" s="447"/>
      <c r="B96" s="449"/>
      <c r="C96" s="449"/>
      <c r="D96" s="449"/>
    </row>
    <row r="97" spans="1:4" ht="16.5" x14ac:dyDescent="0.25">
      <c r="A97" s="104"/>
      <c r="B97" s="105" t="s">
        <v>427</v>
      </c>
      <c r="C97" s="105" t="s">
        <v>427</v>
      </c>
      <c r="D97" s="105" t="s">
        <v>427</v>
      </c>
    </row>
    <row r="98" spans="1:4" ht="16.5" x14ac:dyDescent="0.25">
      <c r="A98" s="298" t="s">
        <v>710</v>
      </c>
      <c r="B98" s="299"/>
      <c r="C98" s="299"/>
      <c r="D98" s="300">
        <v>300000000</v>
      </c>
    </row>
    <row r="99" spans="1:4" ht="27" customHeight="1" x14ac:dyDescent="0.2">
      <c r="A99" s="303" t="s">
        <v>711</v>
      </c>
      <c r="B99" s="312">
        <f>D98*11.25%</f>
        <v>33750000</v>
      </c>
      <c r="C99" s="301"/>
      <c r="D99" s="301"/>
    </row>
    <row r="100" spans="1:4" x14ac:dyDescent="0.2">
      <c r="A100" s="141"/>
      <c r="B100" s="141"/>
      <c r="C100" s="141"/>
      <c r="D100" s="141"/>
    </row>
    <row r="101" spans="1:4" ht="15" x14ac:dyDescent="0.25">
      <c r="B101" s="139"/>
      <c r="C101" s="140"/>
      <c r="D101" s="136"/>
    </row>
    <row r="104" spans="1:4" x14ac:dyDescent="0.2">
      <c r="A104" s="141"/>
      <c r="B104" s="141"/>
      <c r="C104" s="141"/>
      <c r="D104" s="138"/>
    </row>
  </sheetData>
  <mergeCells count="26">
    <mergeCell ref="A1:D1"/>
    <mergeCell ref="A3:D3"/>
    <mergeCell ref="A4:A7"/>
    <mergeCell ref="B4:B7"/>
    <mergeCell ref="C4:C7"/>
    <mergeCell ref="D4:D7"/>
    <mergeCell ref="A24:D24"/>
    <mergeCell ref="A25:A28"/>
    <mergeCell ref="B25:B28"/>
    <mergeCell ref="C25:C28"/>
    <mergeCell ref="D25:D28"/>
    <mergeCell ref="A46:D46"/>
    <mergeCell ref="A47:A50"/>
    <mergeCell ref="B47:B50"/>
    <mergeCell ref="C47:C50"/>
    <mergeCell ref="D47:D50"/>
    <mergeCell ref="A71:D71"/>
    <mergeCell ref="A72:A75"/>
    <mergeCell ref="B72:B75"/>
    <mergeCell ref="C72:C75"/>
    <mergeCell ref="D72:D75"/>
    <mergeCell ref="A92:D92"/>
    <mergeCell ref="A93:A96"/>
    <mergeCell ref="B93:B96"/>
    <mergeCell ref="C93:C96"/>
    <mergeCell ref="D93:D96"/>
  </mergeCells>
  <pageMargins left="0.25" right="0.25" top="0.98425196850393704" bottom="0.98425196850393704" header="0.511811023622047" footer="0.51181102362204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55CC7-81F0-496F-B49A-D9A9825ED6DF}">
  <dimension ref="A1:J42"/>
  <sheetViews>
    <sheetView topLeftCell="A31" workbookViewId="0">
      <selection activeCell="F50" sqref="F50"/>
    </sheetView>
  </sheetViews>
  <sheetFormatPr defaultRowHeight="12.75" x14ac:dyDescent="0.2"/>
  <cols>
    <col min="1" max="1" width="19.140625" style="30" customWidth="1"/>
    <col min="2" max="2" width="10" style="30" customWidth="1"/>
    <col min="3" max="3" width="11.28515625" style="30" bestFit="1" customWidth="1"/>
    <col min="4" max="4" width="20.42578125" style="30" customWidth="1"/>
    <col min="5" max="5" width="7.42578125" style="30" customWidth="1"/>
    <col min="6" max="6" width="12.28515625" style="30" customWidth="1"/>
    <col min="7" max="7" width="13.5703125" style="30" customWidth="1"/>
    <col min="8" max="256" width="9.140625" style="30"/>
    <col min="257" max="257" width="20.28515625" style="30" customWidth="1"/>
    <col min="258" max="258" width="10" style="30" customWidth="1"/>
    <col min="259" max="259" width="14.7109375" style="30" bestFit="1" customWidth="1"/>
    <col min="260" max="260" width="20.42578125" style="30" customWidth="1"/>
    <col min="261" max="261" width="9.42578125" style="30" customWidth="1"/>
    <col min="262" max="262" width="12.28515625" style="30" customWidth="1"/>
    <col min="263" max="263" width="13.5703125" style="30" customWidth="1"/>
    <col min="264" max="512" width="9.140625" style="30"/>
    <col min="513" max="513" width="20.28515625" style="30" customWidth="1"/>
    <col min="514" max="514" width="10" style="30" customWidth="1"/>
    <col min="515" max="515" width="14.7109375" style="30" bestFit="1" customWidth="1"/>
    <col min="516" max="516" width="20.42578125" style="30" customWidth="1"/>
    <col min="517" max="517" width="9.42578125" style="30" customWidth="1"/>
    <col min="518" max="518" width="12.28515625" style="30" customWidth="1"/>
    <col min="519" max="519" width="13.5703125" style="30" customWidth="1"/>
    <col min="520" max="768" width="9.140625" style="30"/>
    <col min="769" max="769" width="20.28515625" style="30" customWidth="1"/>
    <col min="770" max="770" width="10" style="30" customWidth="1"/>
    <col min="771" max="771" width="14.7109375" style="30" bestFit="1" customWidth="1"/>
    <col min="772" max="772" width="20.42578125" style="30" customWidth="1"/>
    <col min="773" max="773" width="9.42578125" style="30" customWidth="1"/>
    <col min="774" max="774" width="12.28515625" style="30" customWidth="1"/>
    <col min="775" max="775" width="13.5703125" style="30" customWidth="1"/>
    <col min="776" max="1024" width="9.140625" style="30"/>
    <col min="1025" max="1025" width="20.28515625" style="30" customWidth="1"/>
    <col min="1026" max="1026" width="10" style="30" customWidth="1"/>
    <col min="1027" max="1027" width="14.7109375" style="30" bestFit="1" customWidth="1"/>
    <col min="1028" max="1028" width="20.42578125" style="30" customWidth="1"/>
    <col min="1029" max="1029" width="9.42578125" style="30" customWidth="1"/>
    <col min="1030" max="1030" width="12.28515625" style="30" customWidth="1"/>
    <col min="1031" max="1031" width="13.5703125" style="30" customWidth="1"/>
    <col min="1032" max="1280" width="9.140625" style="30"/>
    <col min="1281" max="1281" width="20.28515625" style="30" customWidth="1"/>
    <col min="1282" max="1282" width="10" style="30" customWidth="1"/>
    <col min="1283" max="1283" width="14.7109375" style="30" bestFit="1" customWidth="1"/>
    <col min="1284" max="1284" width="20.42578125" style="30" customWidth="1"/>
    <col min="1285" max="1285" width="9.42578125" style="30" customWidth="1"/>
    <col min="1286" max="1286" width="12.28515625" style="30" customWidth="1"/>
    <col min="1287" max="1287" width="13.5703125" style="30" customWidth="1"/>
    <col min="1288" max="1536" width="9.140625" style="30"/>
    <col min="1537" max="1537" width="20.28515625" style="30" customWidth="1"/>
    <col min="1538" max="1538" width="10" style="30" customWidth="1"/>
    <col min="1539" max="1539" width="14.7109375" style="30" bestFit="1" customWidth="1"/>
    <col min="1540" max="1540" width="20.42578125" style="30" customWidth="1"/>
    <col min="1541" max="1541" width="9.42578125" style="30" customWidth="1"/>
    <col min="1542" max="1542" width="12.28515625" style="30" customWidth="1"/>
    <col min="1543" max="1543" width="13.5703125" style="30" customWidth="1"/>
    <col min="1544" max="1792" width="9.140625" style="30"/>
    <col min="1793" max="1793" width="20.28515625" style="30" customWidth="1"/>
    <col min="1794" max="1794" width="10" style="30" customWidth="1"/>
    <col min="1795" max="1795" width="14.7109375" style="30" bestFit="1" customWidth="1"/>
    <col min="1796" max="1796" width="20.42578125" style="30" customWidth="1"/>
    <col min="1797" max="1797" width="9.42578125" style="30" customWidth="1"/>
    <col min="1798" max="1798" width="12.28515625" style="30" customWidth="1"/>
    <col min="1799" max="1799" width="13.5703125" style="30" customWidth="1"/>
    <col min="1800" max="2048" width="9.140625" style="30"/>
    <col min="2049" max="2049" width="20.28515625" style="30" customWidth="1"/>
    <col min="2050" max="2050" width="10" style="30" customWidth="1"/>
    <col min="2051" max="2051" width="14.7109375" style="30" bestFit="1" customWidth="1"/>
    <col min="2052" max="2052" width="20.42578125" style="30" customWidth="1"/>
    <col min="2053" max="2053" width="9.42578125" style="30" customWidth="1"/>
    <col min="2054" max="2054" width="12.28515625" style="30" customWidth="1"/>
    <col min="2055" max="2055" width="13.5703125" style="30" customWidth="1"/>
    <col min="2056" max="2304" width="9.140625" style="30"/>
    <col min="2305" max="2305" width="20.28515625" style="30" customWidth="1"/>
    <col min="2306" max="2306" width="10" style="30" customWidth="1"/>
    <col min="2307" max="2307" width="14.7109375" style="30" bestFit="1" customWidth="1"/>
    <col min="2308" max="2308" width="20.42578125" style="30" customWidth="1"/>
    <col min="2309" max="2309" width="9.42578125" style="30" customWidth="1"/>
    <col min="2310" max="2310" width="12.28515625" style="30" customWidth="1"/>
    <col min="2311" max="2311" width="13.5703125" style="30" customWidth="1"/>
    <col min="2312" max="2560" width="9.140625" style="30"/>
    <col min="2561" max="2561" width="20.28515625" style="30" customWidth="1"/>
    <col min="2562" max="2562" width="10" style="30" customWidth="1"/>
    <col min="2563" max="2563" width="14.7109375" style="30" bestFit="1" customWidth="1"/>
    <col min="2564" max="2564" width="20.42578125" style="30" customWidth="1"/>
    <col min="2565" max="2565" width="9.42578125" style="30" customWidth="1"/>
    <col min="2566" max="2566" width="12.28515625" style="30" customWidth="1"/>
    <col min="2567" max="2567" width="13.5703125" style="30" customWidth="1"/>
    <col min="2568" max="2816" width="9.140625" style="30"/>
    <col min="2817" max="2817" width="20.28515625" style="30" customWidth="1"/>
    <col min="2818" max="2818" width="10" style="30" customWidth="1"/>
    <col min="2819" max="2819" width="14.7109375" style="30" bestFit="1" customWidth="1"/>
    <col min="2820" max="2820" width="20.42578125" style="30" customWidth="1"/>
    <col min="2821" max="2821" width="9.42578125" style="30" customWidth="1"/>
    <col min="2822" max="2822" width="12.28515625" style="30" customWidth="1"/>
    <col min="2823" max="2823" width="13.5703125" style="30" customWidth="1"/>
    <col min="2824" max="3072" width="9.140625" style="30"/>
    <col min="3073" max="3073" width="20.28515625" style="30" customWidth="1"/>
    <col min="3074" max="3074" width="10" style="30" customWidth="1"/>
    <col min="3075" max="3075" width="14.7109375" style="30" bestFit="1" customWidth="1"/>
    <col min="3076" max="3076" width="20.42578125" style="30" customWidth="1"/>
    <col min="3077" max="3077" width="9.42578125" style="30" customWidth="1"/>
    <col min="3078" max="3078" width="12.28515625" style="30" customWidth="1"/>
    <col min="3079" max="3079" width="13.5703125" style="30" customWidth="1"/>
    <col min="3080" max="3328" width="9.140625" style="30"/>
    <col min="3329" max="3329" width="20.28515625" style="30" customWidth="1"/>
    <col min="3330" max="3330" width="10" style="30" customWidth="1"/>
    <col min="3331" max="3331" width="14.7109375" style="30" bestFit="1" customWidth="1"/>
    <col min="3332" max="3332" width="20.42578125" style="30" customWidth="1"/>
    <col min="3333" max="3333" width="9.42578125" style="30" customWidth="1"/>
    <col min="3334" max="3334" width="12.28515625" style="30" customWidth="1"/>
    <col min="3335" max="3335" width="13.5703125" style="30" customWidth="1"/>
    <col min="3336" max="3584" width="9.140625" style="30"/>
    <col min="3585" max="3585" width="20.28515625" style="30" customWidth="1"/>
    <col min="3586" max="3586" width="10" style="30" customWidth="1"/>
    <col min="3587" max="3587" width="14.7109375" style="30" bestFit="1" customWidth="1"/>
    <col min="3588" max="3588" width="20.42578125" style="30" customWidth="1"/>
    <col min="3589" max="3589" width="9.42578125" style="30" customWidth="1"/>
    <col min="3590" max="3590" width="12.28515625" style="30" customWidth="1"/>
    <col min="3591" max="3591" width="13.5703125" style="30" customWidth="1"/>
    <col min="3592" max="3840" width="9.140625" style="30"/>
    <col min="3841" max="3841" width="20.28515625" style="30" customWidth="1"/>
    <col min="3842" max="3842" width="10" style="30" customWidth="1"/>
    <col min="3843" max="3843" width="14.7109375" style="30" bestFit="1" customWidth="1"/>
    <col min="3844" max="3844" width="20.42578125" style="30" customWidth="1"/>
    <col min="3845" max="3845" width="9.42578125" style="30" customWidth="1"/>
    <col min="3846" max="3846" width="12.28515625" style="30" customWidth="1"/>
    <col min="3847" max="3847" width="13.5703125" style="30" customWidth="1"/>
    <col min="3848" max="4096" width="9.140625" style="30"/>
    <col min="4097" max="4097" width="20.28515625" style="30" customWidth="1"/>
    <col min="4098" max="4098" width="10" style="30" customWidth="1"/>
    <col min="4099" max="4099" width="14.7109375" style="30" bestFit="1" customWidth="1"/>
    <col min="4100" max="4100" width="20.42578125" style="30" customWidth="1"/>
    <col min="4101" max="4101" width="9.42578125" style="30" customWidth="1"/>
    <col min="4102" max="4102" width="12.28515625" style="30" customWidth="1"/>
    <col min="4103" max="4103" width="13.5703125" style="30" customWidth="1"/>
    <col min="4104" max="4352" width="9.140625" style="30"/>
    <col min="4353" max="4353" width="20.28515625" style="30" customWidth="1"/>
    <col min="4354" max="4354" width="10" style="30" customWidth="1"/>
    <col min="4355" max="4355" width="14.7109375" style="30" bestFit="1" customWidth="1"/>
    <col min="4356" max="4356" width="20.42578125" style="30" customWidth="1"/>
    <col min="4357" max="4357" width="9.42578125" style="30" customWidth="1"/>
    <col min="4358" max="4358" width="12.28515625" style="30" customWidth="1"/>
    <col min="4359" max="4359" width="13.5703125" style="30" customWidth="1"/>
    <col min="4360" max="4608" width="9.140625" style="30"/>
    <col min="4609" max="4609" width="20.28515625" style="30" customWidth="1"/>
    <col min="4610" max="4610" width="10" style="30" customWidth="1"/>
    <col min="4611" max="4611" width="14.7109375" style="30" bestFit="1" customWidth="1"/>
    <col min="4612" max="4612" width="20.42578125" style="30" customWidth="1"/>
    <col min="4613" max="4613" width="9.42578125" style="30" customWidth="1"/>
    <col min="4614" max="4614" width="12.28515625" style="30" customWidth="1"/>
    <col min="4615" max="4615" width="13.5703125" style="30" customWidth="1"/>
    <col min="4616" max="4864" width="9.140625" style="30"/>
    <col min="4865" max="4865" width="20.28515625" style="30" customWidth="1"/>
    <col min="4866" max="4866" width="10" style="30" customWidth="1"/>
    <col min="4867" max="4867" width="14.7109375" style="30" bestFit="1" customWidth="1"/>
    <col min="4868" max="4868" width="20.42578125" style="30" customWidth="1"/>
    <col min="4869" max="4869" width="9.42578125" style="30" customWidth="1"/>
    <col min="4870" max="4870" width="12.28515625" style="30" customWidth="1"/>
    <col min="4871" max="4871" width="13.5703125" style="30" customWidth="1"/>
    <col min="4872" max="5120" width="9.140625" style="30"/>
    <col min="5121" max="5121" width="20.28515625" style="30" customWidth="1"/>
    <col min="5122" max="5122" width="10" style="30" customWidth="1"/>
    <col min="5123" max="5123" width="14.7109375" style="30" bestFit="1" customWidth="1"/>
    <col min="5124" max="5124" width="20.42578125" style="30" customWidth="1"/>
    <col min="5125" max="5125" width="9.42578125" style="30" customWidth="1"/>
    <col min="5126" max="5126" width="12.28515625" style="30" customWidth="1"/>
    <col min="5127" max="5127" width="13.5703125" style="30" customWidth="1"/>
    <col min="5128" max="5376" width="9.140625" style="30"/>
    <col min="5377" max="5377" width="20.28515625" style="30" customWidth="1"/>
    <col min="5378" max="5378" width="10" style="30" customWidth="1"/>
    <col min="5379" max="5379" width="14.7109375" style="30" bestFit="1" customWidth="1"/>
    <col min="5380" max="5380" width="20.42578125" style="30" customWidth="1"/>
    <col min="5381" max="5381" width="9.42578125" style="30" customWidth="1"/>
    <col min="5382" max="5382" width="12.28515625" style="30" customWidth="1"/>
    <col min="5383" max="5383" width="13.5703125" style="30" customWidth="1"/>
    <col min="5384" max="5632" width="9.140625" style="30"/>
    <col min="5633" max="5633" width="20.28515625" style="30" customWidth="1"/>
    <col min="5634" max="5634" width="10" style="30" customWidth="1"/>
    <col min="5635" max="5635" width="14.7109375" style="30" bestFit="1" customWidth="1"/>
    <col min="5636" max="5636" width="20.42578125" style="30" customWidth="1"/>
    <col min="5637" max="5637" width="9.42578125" style="30" customWidth="1"/>
    <col min="5638" max="5638" width="12.28515625" style="30" customWidth="1"/>
    <col min="5639" max="5639" width="13.5703125" style="30" customWidth="1"/>
    <col min="5640" max="5888" width="9.140625" style="30"/>
    <col min="5889" max="5889" width="20.28515625" style="30" customWidth="1"/>
    <col min="5890" max="5890" width="10" style="30" customWidth="1"/>
    <col min="5891" max="5891" width="14.7109375" style="30" bestFit="1" customWidth="1"/>
    <col min="5892" max="5892" width="20.42578125" style="30" customWidth="1"/>
    <col min="5893" max="5893" width="9.42578125" style="30" customWidth="1"/>
    <col min="5894" max="5894" width="12.28515625" style="30" customWidth="1"/>
    <col min="5895" max="5895" width="13.5703125" style="30" customWidth="1"/>
    <col min="5896" max="6144" width="9.140625" style="30"/>
    <col min="6145" max="6145" width="20.28515625" style="30" customWidth="1"/>
    <col min="6146" max="6146" width="10" style="30" customWidth="1"/>
    <col min="6147" max="6147" width="14.7109375" style="30" bestFit="1" customWidth="1"/>
    <col min="6148" max="6148" width="20.42578125" style="30" customWidth="1"/>
    <col min="6149" max="6149" width="9.42578125" style="30" customWidth="1"/>
    <col min="6150" max="6150" width="12.28515625" style="30" customWidth="1"/>
    <col min="6151" max="6151" width="13.5703125" style="30" customWidth="1"/>
    <col min="6152" max="6400" width="9.140625" style="30"/>
    <col min="6401" max="6401" width="20.28515625" style="30" customWidth="1"/>
    <col min="6402" max="6402" width="10" style="30" customWidth="1"/>
    <col min="6403" max="6403" width="14.7109375" style="30" bestFit="1" customWidth="1"/>
    <col min="6404" max="6404" width="20.42578125" style="30" customWidth="1"/>
    <col min="6405" max="6405" width="9.42578125" style="30" customWidth="1"/>
    <col min="6406" max="6406" width="12.28515625" style="30" customWidth="1"/>
    <col min="6407" max="6407" width="13.5703125" style="30" customWidth="1"/>
    <col min="6408" max="6656" width="9.140625" style="30"/>
    <col min="6657" max="6657" width="20.28515625" style="30" customWidth="1"/>
    <col min="6658" max="6658" width="10" style="30" customWidth="1"/>
    <col min="6659" max="6659" width="14.7109375" style="30" bestFit="1" customWidth="1"/>
    <col min="6660" max="6660" width="20.42578125" style="30" customWidth="1"/>
    <col min="6661" max="6661" width="9.42578125" style="30" customWidth="1"/>
    <col min="6662" max="6662" width="12.28515625" style="30" customWidth="1"/>
    <col min="6663" max="6663" width="13.5703125" style="30" customWidth="1"/>
    <col min="6664" max="6912" width="9.140625" style="30"/>
    <col min="6913" max="6913" width="20.28515625" style="30" customWidth="1"/>
    <col min="6914" max="6914" width="10" style="30" customWidth="1"/>
    <col min="6915" max="6915" width="14.7109375" style="30" bestFit="1" customWidth="1"/>
    <col min="6916" max="6916" width="20.42578125" style="30" customWidth="1"/>
    <col min="6917" max="6917" width="9.42578125" style="30" customWidth="1"/>
    <col min="6918" max="6918" width="12.28515625" style="30" customWidth="1"/>
    <col min="6919" max="6919" width="13.5703125" style="30" customWidth="1"/>
    <col min="6920" max="7168" width="9.140625" style="30"/>
    <col min="7169" max="7169" width="20.28515625" style="30" customWidth="1"/>
    <col min="7170" max="7170" width="10" style="30" customWidth="1"/>
    <col min="7171" max="7171" width="14.7109375" style="30" bestFit="1" customWidth="1"/>
    <col min="7172" max="7172" width="20.42578125" style="30" customWidth="1"/>
    <col min="7173" max="7173" width="9.42578125" style="30" customWidth="1"/>
    <col min="7174" max="7174" width="12.28515625" style="30" customWidth="1"/>
    <col min="7175" max="7175" width="13.5703125" style="30" customWidth="1"/>
    <col min="7176" max="7424" width="9.140625" style="30"/>
    <col min="7425" max="7425" width="20.28515625" style="30" customWidth="1"/>
    <col min="7426" max="7426" width="10" style="30" customWidth="1"/>
    <col min="7427" max="7427" width="14.7109375" style="30" bestFit="1" customWidth="1"/>
    <col min="7428" max="7428" width="20.42578125" style="30" customWidth="1"/>
    <col min="7429" max="7429" width="9.42578125" style="30" customWidth="1"/>
    <col min="7430" max="7430" width="12.28515625" style="30" customWidth="1"/>
    <col min="7431" max="7431" width="13.5703125" style="30" customWidth="1"/>
    <col min="7432" max="7680" width="9.140625" style="30"/>
    <col min="7681" max="7681" width="20.28515625" style="30" customWidth="1"/>
    <col min="7682" max="7682" width="10" style="30" customWidth="1"/>
    <col min="7683" max="7683" width="14.7109375" style="30" bestFit="1" customWidth="1"/>
    <col min="7684" max="7684" width="20.42578125" style="30" customWidth="1"/>
    <col min="7685" max="7685" width="9.42578125" style="30" customWidth="1"/>
    <col min="7686" max="7686" width="12.28515625" style="30" customWidth="1"/>
    <col min="7687" max="7687" width="13.5703125" style="30" customWidth="1"/>
    <col min="7688" max="7936" width="9.140625" style="30"/>
    <col min="7937" max="7937" width="20.28515625" style="30" customWidth="1"/>
    <col min="7938" max="7938" width="10" style="30" customWidth="1"/>
    <col min="7939" max="7939" width="14.7109375" style="30" bestFit="1" customWidth="1"/>
    <col min="7940" max="7940" width="20.42578125" style="30" customWidth="1"/>
    <col min="7941" max="7941" width="9.42578125" style="30" customWidth="1"/>
    <col min="7942" max="7942" width="12.28515625" style="30" customWidth="1"/>
    <col min="7943" max="7943" width="13.5703125" style="30" customWidth="1"/>
    <col min="7944" max="8192" width="9.140625" style="30"/>
    <col min="8193" max="8193" width="20.28515625" style="30" customWidth="1"/>
    <col min="8194" max="8194" width="10" style="30" customWidth="1"/>
    <col min="8195" max="8195" width="14.7109375" style="30" bestFit="1" customWidth="1"/>
    <col min="8196" max="8196" width="20.42578125" style="30" customWidth="1"/>
    <col min="8197" max="8197" width="9.42578125" style="30" customWidth="1"/>
    <col min="8198" max="8198" width="12.28515625" style="30" customWidth="1"/>
    <col min="8199" max="8199" width="13.5703125" style="30" customWidth="1"/>
    <col min="8200" max="8448" width="9.140625" style="30"/>
    <col min="8449" max="8449" width="20.28515625" style="30" customWidth="1"/>
    <col min="8450" max="8450" width="10" style="30" customWidth="1"/>
    <col min="8451" max="8451" width="14.7109375" style="30" bestFit="1" customWidth="1"/>
    <col min="8452" max="8452" width="20.42578125" style="30" customWidth="1"/>
    <col min="8453" max="8453" width="9.42578125" style="30" customWidth="1"/>
    <col min="8454" max="8454" width="12.28515625" style="30" customWidth="1"/>
    <col min="8455" max="8455" width="13.5703125" style="30" customWidth="1"/>
    <col min="8456" max="8704" width="9.140625" style="30"/>
    <col min="8705" max="8705" width="20.28515625" style="30" customWidth="1"/>
    <col min="8706" max="8706" width="10" style="30" customWidth="1"/>
    <col min="8707" max="8707" width="14.7109375" style="30" bestFit="1" customWidth="1"/>
    <col min="8708" max="8708" width="20.42578125" style="30" customWidth="1"/>
    <col min="8709" max="8709" width="9.42578125" style="30" customWidth="1"/>
    <col min="8710" max="8710" width="12.28515625" style="30" customWidth="1"/>
    <col min="8711" max="8711" width="13.5703125" style="30" customWidth="1"/>
    <col min="8712" max="8960" width="9.140625" style="30"/>
    <col min="8961" max="8961" width="20.28515625" style="30" customWidth="1"/>
    <col min="8962" max="8962" width="10" style="30" customWidth="1"/>
    <col min="8963" max="8963" width="14.7109375" style="30" bestFit="1" customWidth="1"/>
    <col min="8964" max="8964" width="20.42578125" style="30" customWidth="1"/>
    <col min="8965" max="8965" width="9.42578125" style="30" customWidth="1"/>
    <col min="8966" max="8966" width="12.28515625" style="30" customWidth="1"/>
    <col min="8967" max="8967" width="13.5703125" style="30" customWidth="1"/>
    <col min="8968" max="9216" width="9.140625" style="30"/>
    <col min="9217" max="9217" width="20.28515625" style="30" customWidth="1"/>
    <col min="9218" max="9218" width="10" style="30" customWidth="1"/>
    <col min="9219" max="9219" width="14.7109375" style="30" bestFit="1" customWidth="1"/>
    <col min="9220" max="9220" width="20.42578125" style="30" customWidth="1"/>
    <col min="9221" max="9221" width="9.42578125" style="30" customWidth="1"/>
    <col min="9222" max="9222" width="12.28515625" style="30" customWidth="1"/>
    <col min="9223" max="9223" width="13.5703125" style="30" customWidth="1"/>
    <col min="9224" max="9472" width="9.140625" style="30"/>
    <col min="9473" max="9473" width="20.28515625" style="30" customWidth="1"/>
    <col min="9474" max="9474" width="10" style="30" customWidth="1"/>
    <col min="9475" max="9475" width="14.7109375" style="30" bestFit="1" customWidth="1"/>
    <col min="9476" max="9476" width="20.42578125" style="30" customWidth="1"/>
    <col min="9477" max="9477" width="9.42578125" style="30" customWidth="1"/>
    <col min="9478" max="9478" width="12.28515625" style="30" customWidth="1"/>
    <col min="9479" max="9479" width="13.5703125" style="30" customWidth="1"/>
    <col min="9480" max="9728" width="9.140625" style="30"/>
    <col min="9729" max="9729" width="20.28515625" style="30" customWidth="1"/>
    <col min="9730" max="9730" width="10" style="30" customWidth="1"/>
    <col min="9731" max="9731" width="14.7109375" style="30" bestFit="1" customWidth="1"/>
    <col min="9732" max="9732" width="20.42578125" style="30" customWidth="1"/>
    <col min="9733" max="9733" width="9.42578125" style="30" customWidth="1"/>
    <col min="9734" max="9734" width="12.28515625" style="30" customWidth="1"/>
    <col min="9735" max="9735" width="13.5703125" style="30" customWidth="1"/>
    <col min="9736" max="9984" width="9.140625" style="30"/>
    <col min="9985" max="9985" width="20.28515625" style="30" customWidth="1"/>
    <col min="9986" max="9986" width="10" style="30" customWidth="1"/>
    <col min="9987" max="9987" width="14.7109375" style="30" bestFit="1" customWidth="1"/>
    <col min="9988" max="9988" width="20.42578125" style="30" customWidth="1"/>
    <col min="9989" max="9989" width="9.42578125" style="30" customWidth="1"/>
    <col min="9990" max="9990" width="12.28515625" style="30" customWidth="1"/>
    <col min="9991" max="9991" width="13.5703125" style="30" customWidth="1"/>
    <col min="9992" max="10240" width="9.140625" style="30"/>
    <col min="10241" max="10241" width="20.28515625" style="30" customWidth="1"/>
    <col min="10242" max="10242" width="10" style="30" customWidth="1"/>
    <col min="10243" max="10243" width="14.7109375" style="30" bestFit="1" customWidth="1"/>
    <col min="10244" max="10244" width="20.42578125" style="30" customWidth="1"/>
    <col min="10245" max="10245" width="9.42578125" style="30" customWidth="1"/>
    <col min="10246" max="10246" width="12.28515625" style="30" customWidth="1"/>
    <col min="10247" max="10247" width="13.5703125" style="30" customWidth="1"/>
    <col min="10248" max="10496" width="9.140625" style="30"/>
    <col min="10497" max="10497" width="20.28515625" style="30" customWidth="1"/>
    <col min="10498" max="10498" width="10" style="30" customWidth="1"/>
    <col min="10499" max="10499" width="14.7109375" style="30" bestFit="1" customWidth="1"/>
    <col min="10500" max="10500" width="20.42578125" style="30" customWidth="1"/>
    <col min="10501" max="10501" width="9.42578125" style="30" customWidth="1"/>
    <col min="10502" max="10502" width="12.28515625" style="30" customWidth="1"/>
    <col min="10503" max="10503" width="13.5703125" style="30" customWidth="1"/>
    <col min="10504" max="10752" width="9.140625" style="30"/>
    <col min="10753" max="10753" width="20.28515625" style="30" customWidth="1"/>
    <col min="10754" max="10754" width="10" style="30" customWidth="1"/>
    <col min="10755" max="10755" width="14.7109375" style="30" bestFit="1" customWidth="1"/>
    <col min="10756" max="10756" width="20.42578125" style="30" customWidth="1"/>
    <col min="10757" max="10757" width="9.42578125" style="30" customWidth="1"/>
    <col min="10758" max="10758" width="12.28515625" style="30" customWidth="1"/>
    <col min="10759" max="10759" width="13.5703125" style="30" customWidth="1"/>
    <col min="10760" max="11008" width="9.140625" style="30"/>
    <col min="11009" max="11009" width="20.28515625" style="30" customWidth="1"/>
    <col min="11010" max="11010" width="10" style="30" customWidth="1"/>
    <col min="11011" max="11011" width="14.7109375" style="30" bestFit="1" customWidth="1"/>
    <col min="11012" max="11012" width="20.42578125" style="30" customWidth="1"/>
    <col min="11013" max="11013" width="9.42578125" style="30" customWidth="1"/>
    <col min="11014" max="11014" width="12.28515625" style="30" customWidth="1"/>
    <col min="11015" max="11015" width="13.5703125" style="30" customWidth="1"/>
    <col min="11016" max="11264" width="9.140625" style="30"/>
    <col min="11265" max="11265" width="20.28515625" style="30" customWidth="1"/>
    <col min="11266" max="11266" width="10" style="30" customWidth="1"/>
    <col min="11267" max="11267" width="14.7109375" style="30" bestFit="1" customWidth="1"/>
    <col min="11268" max="11268" width="20.42578125" style="30" customWidth="1"/>
    <col min="11269" max="11269" width="9.42578125" style="30" customWidth="1"/>
    <col min="11270" max="11270" width="12.28515625" style="30" customWidth="1"/>
    <col min="11271" max="11271" width="13.5703125" style="30" customWidth="1"/>
    <col min="11272" max="11520" width="9.140625" style="30"/>
    <col min="11521" max="11521" width="20.28515625" style="30" customWidth="1"/>
    <col min="11522" max="11522" width="10" style="30" customWidth="1"/>
    <col min="11523" max="11523" width="14.7109375" style="30" bestFit="1" customWidth="1"/>
    <col min="11524" max="11524" width="20.42578125" style="30" customWidth="1"/>
    <col min="11525" max="11525" width="9.42578125" style="30" customWidth="1"/>
    <col min="11526" max="11526" width="12.28515625" style="30" customWidth="1"/>
    <col min="11527" max="11527" width="13.5703125" style="30" customWidth="1"/>
    <col min="11528" max="11776" width="9.140625" style="30"/>
    <col min="11777" max="11777" width="20.28515625" style="30" customWidth="1"/>
    <col min="11778" max="11778" width="10" style="30" customWidth="1"/>
    <col min="11779" max="11779" width="14.7109375" style="30" bestFit="1" customWidth="1"/>
    <col min="11780" max="11780" width="20.42578125" style="30" customWidth="1"/>
    <col min="11781" max="11781" width="9.42578125" style="30" customWidth="1"/>
    <col min="11782" max="11782" width="12.28515625" style="30" customWidth="1"/>
    <col min="11783" max="11783" width="13.5703125" style="30" customWidth="1"/>
    <col min="11784" max="12032" width="9.140625" style="30"/>
    <col min="12033" max="12033" width="20.28515625" style="30" customWidth="1"/>
    <col min="12034" max="12034" width="10" style="30" customWidth="1"/>
    <col min="12035" max="12035" width="14.7109375" style="30" bestFit="1" customWidth="1"/>
    <col min="12036" max="12036" width="20.42578125" style="30" customWidth="1"/>
    <col min="12037" max="12037" width="9.42578125" style="30" customWidth="1"/>
    <col min="12038" max="12038" width="12.28515625" style="30" customWidth="1"/>
    <col min="12039" max="12039" width="13.5703125" style="30" customWidth="1"/>
    <col min="12040" max="12288" width="9.140625" style="30"/>
    <col min="12289" max="12289" width="20.28515625" style="30" customWidth="1"/>
    <col min="12290" max="12290" width="10" style="30" customWidth="1"/>
    <col min="12291" max="12291" width="14.7109375" style="30" bestFit="1" customWidth="1"/>
    <col min="12292" max="12292" width="20.42578125" style="30" customWidth="1"/>
    <col min="12293" max="12293" width="9.42578125" style="30" customWidth="1"/>
    <col min="12294" max="12294" width="12.28515625" style="30" customWidth="1"/>
    <col min="12295" max="12295" width="13.5703125" style="30" customWidth="1"/>
    <col min="12296" max="12544" width="9.140625" style="30"/>
    <col min="12545" max="12545" width="20.28515625" style="30" customWidth="1"/>
    <col min="12546" max="12546" width="10" style="30" customWidth="1"/>
    <col min="12547" max="12547" width="14.7109375" style="30" bestFit="1" customWidth="1"/>
    <col min="12548" max="12548" width="20.42578125" style="30" customWidth="1"/>
    <col min="12549" max="12549" width="9.42578125" style="30" customWidth="1"/>
    <col min="12550" max="12550" width="12.28515625" style="30" customWidth="1"/>
    <col min="12551" max="12551" width="13.5703125" style="30" customWidth="1"/>
    <col min="12552" max="12800" width="9.140625" style="30"/>
    <col min="12801" max="12801" width="20.28515625" style="30" customWidth="1"/>
    <col min="12802" max="12802" width="10" style="30" customWidth="1"/>
    <col min="12803" max="12803" width="14.7109375" style="30" bestFit="1" customWidth="1"/>
    <col min="12804" max="12804" width="20.42578125" style="30" customWidth="1"/>
    <col min="12805" max="12805" width="9.42578125" style="30" customWidth="1"/>
    <col min="12806" max="12806" width="12.28515625" style="30" customWidth="1"/>
    <col min="12807" max="12807" width="13.5703125" style="30" customWidth="1"/>
    <col min="12808" max="13056" width="9.140625" style="30"/>
    <col min="13057" max="13057" width="20.28515625" style="30" customWidth="1"/>
    <col min="13058" max="13058" width="10" style="30" customWidth="1"/>
    <col min="13059" max="13059" width="14.7109375" style="30" bestFit="1" customWidth="1"/>
    <col min="13060" max="13060" width="20.42578125" style="30" customWidth="1"/>
    <col min="13061" max="13061" width="9.42578125" style="30" customWidth="1"/>
    <col min="13062" max="13062" width="12.28515625" style="30" customWidth="1"/>
    <col min="13063" max="13063" width="13.5703125" style="30" customWidth="1"/>
    <col min="13064" max="13312" width="9.140625" style="30"/>
    <col min="13313" max="13313" width="20.28515625" style="30" customWidth="1"/>
    <col min="13314" max="13314" width="10" style="30" customWidth="1"/>
    <col min="13315" max="13315" width="14.7109375" style="30" bestFit="1" customWidth="1"/>
    <col min="13316" max="13316" width="20.42578125" style="30" customWidth="1"/>
    <col min="13317" max="13317" width="9.42578125" style="30" customWidth="1"/>
    <col min="13318" max="13318" width="12.28515625" style="30" customWidth="1"/>
    <col min="13319" max="13319" width="13.5703125" style="30" customWidth="1"/>
    <col min="13320" max="13568" width="9.140625" style="30"/>
    <col min="13569" max="13569" width="20.28515625" style="30" customWidth="1"/>
    <col min="13570" max="13570" width="10" style="30" customWidth="1"/>
    <col min="13571" max="13571" width="14.7109375" style="30" bestFit="1" customWidth="1"/>
    <col min="13572" max="13572" width="20.42578125" style="30" customWidth="1"/>
    <col min="13573" max="13573" width="9.42578125" style="30" customWidth="1"/>
    <col min="13574" max="13574" width="12.28515625" style="30" customWidth="1"/>
    <col min="13575" max="13575" width="13.5703125" style="30" customWidth="1"/>
    <col min="13576" max="13824" width="9.140625" style="30"/>
    <col min="13825" max="13825" width="20.28515625" style="30" customWidth="1"/>
    <col min="13826" max="13826" width="10" style="30" customWidth="1"/>
    <col min="13827" max="13827" width="14.7109375" style="30" bestFit="1" customWidth="1"/>
    <col min="13828" max="13828" width="20.42578125" style="30" customWidth="1"/>
    <col min="13829" max="13829" width="9.42578125" style="30" customWidth="1"/>
    <col min="13830" max="13830" width="12.28515625" style="30" customWidth="1"/>
    <col min="13831" max="13831" width="13.5703125" style="30" customWidth="1"/>
    <col min="13832" max="14080" width="9.140625" style="30"/>
    <col min="14081" max="14081" width="20.28515625" style="30" customWidth="1"/>
    <col min="14082" max="14082" width="10" style="30" customWidth="1"/>
    <col min="14083" max="14083" width="14.7109375" style="30" bestFit="1" customWidth="1"/>
    <col min="14084" max="14084" width="20.42578125" style="30" customWidth="1"/>
    <col min="14085" max="14085" width="9.42578125" style="30" customWidth="1"/>
    <col min="14086" max="14086" width="12.28515625" style="30" customWidth="1"/>
    <col min="14087" max="14087" width="13.5703125" style="30" customWidth="1"/>
    <col min="14088" max="14336" width="9.140625" style="30"/>
    <col min="14337" max="14337" width="20.28515625" style="30" customWidth="1"/>
    <col min="14338" max="14338" width="10" style="30" customWidth="1"/>
    <col min="14339" max="14339" width="14.7109375" style="30" bestFit="1" customWidth="1"/>
    <col min="14340" max="14340" width="20.42578125" style="30" customWidth="1"/>
    <col min="14341" max="14341" width="9.42578125" style="30" customWidth="1"/>
    <col min="14342" max="14342" width="12.28515625" style="30" customWidth="1"/>
    <col min="14343" max="14343" width="13.5703125" style="30" customWidth="1"/>
    <col min="14344" max="14592" width="9.140625" style="30"/>
    <col min="14593" max="14593" width="20.28515625" style="30" customWidth="1"/>
    <col min="14594" max="14594" width="10" style="30" customWidth="1"/>
    <col min="14595" max="14595" width="14.7109375" style="30" bestFit="1" customWidth="1"/>
    <col min="14596" max="14596" width="20.42578125" style="30" customWidth="1"/>
    <col min="14597" max="14597" width="9.42578125" style="30" customWidth="1"/>
    <col min="14598" max="14598" width="12.28515625" style="30" customWidth="1"/>
    <col min="14599" max="14599" width="13.5703125" style="30" customWidth="1"/>
    <col min="14600" max="14848" width="9.140625" style="30"/>
    <col min="14849" max="14849" width="20.28515625" style="30" customWidth="1"/>
    <col min="14850" max="14850" width="10" style="30" customWidth="1"/>
    <col min="14851" max="14851" width="14.7109375" style="30" bestFit="1" customWidth="1"/>
    <col min="14852" max="14852" width="20.42578125" style="30" customWidth="1"/>
    <col min="14853" max="14853" width="9.42578125" style="30" customWidth="1"/>
    <col min="14854" max="14854" width="12.28515625" style="30" customWidth="1"/>
    <col min="14855" max="14855" width="13.5703125" style="30" customWidth="1"/>
    <col min="14856" max="15104" width="9.140625" style="30"/>
    <col min="15105" max="15105" width="20.28515625" style="30" customWidth="1"/>
    <col min="15106" max="15106" width="10" style="30" customWidth="1"/>
    <col min="15107" max="15107" width="14.7109375" style="30" bestFit="1" customWidth="1"/>
    <col min="15108" max="15108" width="20.42578125" style="30" customWidth="1"/>
    <col min="15109" max="15109" width="9.42578125" style="30" customWidth="1"/>
    <col min="15110" max="15110" width="12.28515625" style="30" customWidth="1"/>
    <col min="15111" max="15111" width="13.5703125" style="30" customWidth="1"/>
    <col min="15112" max="15360" width="9.140625" style="30"/>
    <col min="15361" max="15361" width="20.28515625" style="30" customWidth="1"/>
    <col min="15362" max="15362" width="10" style="30" customWidth="1"/>
    <col min="15363" max="15363" width="14.7109375" style="30" bestFit="1" customWidth="1"/>
    <col min="15364" max="15364" width="20.42578125" style="30" customWidth="1"/>
    <col min="15365" max="15365" width="9.42578125" style="30" customWidth="1"/>
    <col min="15366" max="15366" width="12.28515625" style="30" customWidth="1"/>
    <col min="15367" max="15367" width="13.5703125" style="30" customWidth="1"/>
    <col min="15368" max="15616" width="9.140625" style="30"/>
    <col min="15617" max="15617" width="20.28515625" style="30" customWidth="1"/>
    <col min="15618" max="15618" width="10" style="30" customWidth="1"/>
    <col min="15619" max="15619" width="14.7109375" style="30" bestFit="1" customWidth="1"/>
    <col min="15620" max="15620" width="20.42578125" style="30" customWidth="1"/>
    <col min="15621" max="15621" width="9.42578125" style="30" customWidth="1"/>
    <col min="15622" max="15622" width="12.28515625" style="30" customWidth="1"/>
    <col min="15623" max="15623" width="13.5703125" style="30" customWidth="1"/>
    <col min="15624" max="15872" width="9.140625" style="30"/>
    <col min="15873" max="15873" width="20.28515625" style="30" customWidth="1"/>
    <col min="15874" max="15874" width="10" style="30" customWidth="1"/>
    <col min="15875" max="15875" width="14.7109375" style="30" bestFit="1" customWidth="1"/>
    <col min="15876" max="15876" width="20.42578125" style="30" customWidth="1"/>
    <col min="15877" max="15877" width="9.42578125" style="30" customWidth="1"/>
    <col min="15878" max="15878" width="12.28515625" style="30" customWidth="1"/>
    <col min="15879" max="15879" width="13.5703125" style="30" customWidth="1"/>
    <col min="15880" max="16128" width="9.140625" style="30"/>
    <col min="16129" max="16129" width="20.28515625" style="30" customWidth="1"/>
    <col min="16130" max="16130" width="10" style="30" customWidth="1"/>
    <col min="16131" max="16131" width="14.7109375" style="30" bestFit="1" customWidth="1"/>
    <col min="16132" max="16132" width="20.42578125" style="30" customWidth="1"/>
    <col min="16133" max="16133" width="9.42578125" style="30" customWidth="1"/>
    <col min="16134" max="16134" width="12.28515625" style="30" customWidth="1"/>
    <col min="16135" max="16135" width="13.5703125" style="30" customWidth="1"/>
    <col min="16136" max="16384" width="9.140625" style="30"/>
  </cols>
  <sheetData>
    <row r="1" spans="1:7" ht="16.5" customHeight="1" x14ac:dyDescent="0.2">
      <c r="A1" s="450" t="s">
        <v>146</v>
      </c>
      <c r="B1" s="453" t="s">
        <v>450</v>
      </c>
      <c r="C1" s="453"/>
      <c r="D1" s="453"/>
      <c r="E1" s="453"/>
      <c r="F1" s="453"/>
      <c r="G1" s="453"/>
    </row>
    <row r="2" spans="1:7" ht="16.5" customHeight="1" x14ac:dyDescent="0.2">
      <c r="A2" s="451"/>
      <c r="B2" s="454" t="s">
        <v>375</v>
      </c>
      <c r="C2" s="454"/>
      <c r="D2" s="454"/>
      <c r="E2" s="454"/>
      <c r="F2" s="454"/>
      <c r="G2" s="454"/>
    </row>
    <row r="3" spans="1:7" ht="16.5" customHeight="1" x14ac:dyDescent="0.2">
      <c r="A3" s="451"/>
      <c r="B3" s="455" t="s">
        <v>451</v>
      </c>
      <c r="C3" s="455"/>
      <c r="D3" s="455"/>
      <c r="E3" s="455"/>
      <c r="F3" s="455"/>
      <c r="G3" s="455"/>
    </row>
    <row r="4" spans="1:7" ht="57" customHeight="1" x14ac:dyDescent="0.3">
      <c r="A4" s="452"/>
      <c r="B4" s="456" t="s">
        <v>452</v>
      </c>
      <c r="C4" s="456"/>
      <c r="D4" s="313" t="s">
        <v>453</v>
      </c>
      <c r="E4" s="314" t="s">
        <v>454</v>
      </c>
      <c r="F4" s="314" t="s">
        <v>455</v>
      </c>
      <c r="G4" s="315" t="s">
        <v>456</v>
      </c>
    </row>
    <row r="5" spans="1:7" ht="16.5" x14ac:dyDescent="0.3">
      <c r="A5" s="316"/>
      <c r="B5" s="317" t="s">
        <v>457</v>
      </c>
      <c r="C5" s="317" t="s">
        <v>441</v>
      </c>
      <c r="D5" s="313" t="s">
        <v>458</v>
      </c>
      <c r="E5" s="314"/>
      <c r="F5" s="318"/>
      <c r="G5" s="318"/>
    </row>
    <row r="6" spans="1:7" ht="18" customHeight="1" x14ac:dyDescent="0.3">
      <c r="A6" s="319" t="s">
        <v>459</v>
      </c>
      <c r="B6" s="320"/>
      <c r="C6" s="320"/>
      <c r="D6" s="321">
        <f>'[2]2021-22 Estt'!D19</f>
        <v>91029713.799999997</v>
      </c>
      <c r="E6" s="314">
        <v>12</v>
      </c>
      <c r="F6" s="322">
        <f>D6*6%</f>
        <v>5461782.8279999997</v>
      </c>
      <c r="G6" s="322">
        <f>F6</f>
        <v>5461782.8279999997</v>
      </c>
    </row>
    <row r="7" spans="1:7" ht="18" customHeight="1" x14ac:dyDescent="0.3">
      <c r="A7" s="323" t="s">
        <v>460</v>
      </c>
      <c r="B7" s="320"/>
      <c r="C7" s="324">
        <v>552400</v>
      </c>
      <c r="D7" s="325">
        <f t="shared" ref="D7:D18" si="0">D6+C7</f>
        <v>91582113.799999997</v>
      </c>
      <c r="E7" s="314">
        <v>12</v>
      </c>
      <c r="F7" s="322">
        <f>C7*6%</f>
        <v>33144</v>
      </c>
      <c r="G7" s="322">
        <f>F7</f>
        <v>33144</v>
      </c>
    </row>
    <row r="8" spans="1:7" ht="18" customHeight="1" x14ac:dyDescent="0.3">
      <c r="A8" s="323" t="s">
        <v>461</v>
      </c>
      <c r="B8" s="320"/>
      <c r="C8" s="324">
        <v>339996</v>
      </c>
      <c r="D8" s="325">
        <f t="shared" si="0"/>
        <v>91922109.799999997</v>
      </c>
      <c r="E8" s="314">
        <v>11</v>
      </c>
      <c r="F8" s="322">
        <f>C8*6%</f>
        <v>20399.759999999998</v>
      </c>
      <c r="G8" s="322">
        <f>F8/12*11</f>
        <v>18699.78</v>
      </c>
    </row>
    <row r="9" spans="1:7" ht="18" customHeight="1" x14ac:dyDescent="0.3">
      <c r="A9" s="323" t="s">
        <v>462</v>
      </c>
      <c r="B9" s="320"/>
      <c r="C9" s="324">
        <v>406030</v>
      </c>
      <c r="D9" s="325">
        <f>D8+C9-B9</f>
        <v>92328139.799999997</v>
      </c>
      <c r="E9" s="314">
        <v>10</v>
      </c>
      <c r="F9" s="322">
        <f>C9*6%</f>
        <v>24361.8</v>
      </c>
      <c r="G9" s="322">
        <f>F9/12*10</f>
        <v>20301.5</v>
      </c>
    </row>
    <row r="10" spans="1:7" ht="18" customHeight="1" x14ac:dyDescent="0.3">
      <c r="A10" s="323" t="s">
        <v>463</v>
      </c>
      <c r="B10" s="320"/>
      <c r="C10" s="324">
        <v>286820</v>
      </c>
      <c r="D10" s="325">
        <f t="shared" si="0"/>
        <v>92614959.799999997</v>
      </c>
      <c r="E10" s="314">
        <v>9</v>
      </c>
      <c r="F10" s="322">
        <f>C10*E10%</f>
        <v>25813.8</v>
      </c>
      <c r="G10" s="322">
        <f>F10/12*9</f>
        <v>19360.350000000002</v>
      </c>
    </row>
    <row r="11" spans="1:7" ht="18" customHeight="1" x14ac:dyDescent="0.3">
      <c r="A11" s="323" t="s">
        <v>464</v>
      </c>
      <c r="B11" s="320"/>
      <c r="C11" s="324">
        <v>391980</v>
      </c>
      <c r="D11" s="325">
        <f>D10+C11-B11</f>
        <v>93006939.799999997</v>
      </c>
      <c r="E11" s="314">
        <v>8</v>
      </c>
      <c r="F11" s="322">
        <f t="shared" ref="F11:F18" si="1">C11*6%</f>
        <v>23518.799999999999</v>
      </c>
      <c r="G11" s="322">
        <f>F11/12*8</f>
        <v>15679.199999999999</v>
      </c>
    </row>
    <row r="12" spans="1:7" ht="18" customHeight="1" x14ac:dyDescent="0.3">
      <c r="A12" s="323" t="s">
        <v>465</v>
      </c>
      <c r="B12" s="320"/>
      <c r="C12" s="324">
        <v>484325</v>
      </c>
      <c r="D12" s="325">
        <f>D11+C12-B12</f>
        <v>93491264.799999997</v>
      </c>
      <c r="E12" s="314">
        <v>7</v>
      </c>
      <c r="F12" s="322">
        <f t="shared" si="1"/>
        <v>29059.5</v>
      </c>
      <c r="G12" s="322">
        <f>F12/12*7</f>
        <v>16951.375</v>
      </c>
    </row>
    <row r="13" spans="1:7" ht="18" customHeight="1" x14ac:dyDescent="0.3">
      <c r="A13" s="323" t="s">
        <v>466</v>
      </c>
      <c r="B13" s="320"/>
      <c r="C13" s="324">
        <v>913020</v>
      </c>
      <c r="D13" s="325">
        <f t="shared" si="0"/>
        <v>94404284.799999997</v>
      </c>
      <c r="E13" s="314">
        <v>6</v>
      </c>
      <c r="F13" s="322">
        <f t="shared" si="1"/>
        <v>54781.2</v>
      </c>
      <c r="G13" s="322">
        <f>F13/12*6</f>
        <v>27390.6</v>
      </c>
    </row>
    <row r="14" spans="1:7" ht="18" customHeight="1" x14ac:dyDescent="0.3">
      <c r="A14" s="323" t="s">
        <v>467</v>
      </c>
      <c r="B14" s="320"/>
      <c r="C14" s="324">
        <v>300000</v>
      </c>
      <c r="D14" s="325">
        <f t="shared" si="0"/>
        <v>94704284.799999997</v>
      </c>
      <c r="E14" s="314">
        <v>5</v>
      </c>
      <c r="F14" s="322">
        <f t="shared" si="1"/>
        <v>18000</v>
      </c>
      <c r="G14" s="322">
        <f>F14/12*5</f>
        <v>7500</v>
      </c>
    </row>
    <row r="15" spans="1:7" ht="18" customHeight="1" x14ac:dyDescent="0.3">
      <c r="A15" s="323" t="s">
        <v>468</v>
      </c>
      <c r="B15" s="320"/>
      <c r="C15" s="324">
        <v>300000</v>
      </c>
      <c r="D15" s="325">
        <f t="shared" si="0"/>
        <v>95004284.799999997</v>
      </c>
      <c r="E15" s="314">
        <v>4</v>
      </c>
      <c r="F15" s="322">
        <f t="shared" si="1"/>
        <v>18000</v>
      </c>
      <c r="G15" s="322">
        <f>F15/12*4</f>
        <v>6000</v>
      </c>
    </row>
    <row r="16" spans="1:7" ht="18" customHeight="1" x14ac:dyDescent="0.3">
      <c r="A16" s="323" t="s">
        <v>469</v>
      </c>
      <c r="B16" s="320"/>
      <c r="C16" s="324">
        <v>300000</v>
      </c>
      <c r="D16" s="325">
        <f t="shared" si="0"/>
        <v>95304284.799999997</v>
      </c>
      <c r="E16" s="314">
        <v>3</v>
      </c>
      <c r="F16" s="322">
        <f t="shared" si="1"/>
        <v>18000</v>
      </c>
      <c r="G16" s="322">
        <f>F16/12*3</f>
        <v>4500</v>
      </c>
    </row>
    <row r="17" spans="1:7" ht="18" customHeight="1" x14ac:dyDescent="0.3">
      <c r="A17" s="323" t="s">
        <v>470</v>
      </c>
      <c r="B17" s="320"/>
      <c r="C17" s="324">
        <v>300000</v>
      </c>
      <c r="D17" s="325">
        <f t="shared" si="0"/>
        <v>95604284.799999997</v>
      </c>
      <c r="E17" s="314">
        <v>2</v>
      </c>
      <c r="F17" s="322">
        <f t="shared" si="1"/>
        <v>18000</v>
      </c>
      <c r="G17" s="322">
        <f>F17/12*2</f>
        <v>3000</v>
      </c>
    </row>
    <row r="18" spans="1:7" ht="18" customHeight="1" x14ac:dyDescent="0.3">
      <c r="A18" s="323" t="s">
        <v>471</v>
      </c>
      <c r="B18" s="320"/>
      <c r="C18" s="324">
        <v>300000</v>
      </c>
      <c r="D18" s="325">
        <f t="shared" si="0"/>
        <v>95904284.799999997</v>
      </c>
      <c r="E18" s="314">
        <v>1</v>
      </c>
      <c r="F18" s="322">
        <f t="shared" si="1"/>
        <v>18000</v>
      </c>
      <c r="G18" s="322">
        <f>F18/12*1</f>
        <v>1500</v>
      </c>
    </row>
    <row r="19" spans="1:7" ht="18" customHeight="1" x14ac:dyDescent="0.3">
      <c r="A19" s="316" t="s">
        <v>472</v>
      </c>
      <c r="B19" s="326"/>
      <c r="C19" s="327">
        <f>SUM(C7:C18)</f>
        <v>4874571</v>
      </c>
      <c r="D19" s="328">
        <f>D18</f>
        <v>95904284.799999997</v>
      </c>
      <c r="E19" s="314"/>
      <c r="F19" s="318"/>
      <c r="G19" s="329">
        <f>SUM(G6:G18)</f>
        <v>5635809.6329999994</v>
      </c>
    </row>
    <row r="21" spans="1:7" ht="16.5" x14ac:dyDescent="0.2">
      <c r="A21" s="450" t="s">
        <v>146</v>
      </c>
      <c r="B21" s="453" t="s">
        <v>473</v>
      </c>
      <c r="C21" s="453"/>
      <c r="D21" s="453"/>
      <c r="E21" s="453"/>
      <c r="F21" s="453"/>
      <c r="G21" s="453"/>
    </row>
    <row r="22" spans="1:7" ht="16.5" x14ac:dyDescent="0.2">
      <c r="A22" s="451"/>
      <c r="B22" s="454" t="s">
        <v>375</v>
      </c>
      <c r="C22" s="454"/>
      <c r="D22" s="454"/>
      <c r="E22" s="454"/>
      <c r="F22" s="454"/>
      <c r="G22" s="454"/>
    </row>
    <row r="23" spans="1:7" ht="16.5" x14ac:dyDescent="0.2">
      <c r="A23" s="451"/>
      <c r="B23" s="455" t="s">
        <v>474</v>
      </c>
      <c r="C23" s="455"/>
      <c r="D23" s="455"/>
      <c r="E23" s="455"/>
      <c r="F23" s="455"/>
      <c r="G23" s="455"/>
    </row>
    <row r="24" spans="1:7" ht="49.5" x14ac:dyDescent="0.3">
      <c r="A24" s="452"/>
      <c r="B24" s="456" t="s">
        <v>452</v>
      </c>
      <c r="C24" s="456"/>
      <c r="D24" s="313" t="s">
        <v>453</v>
      </c>
      <c r="E24" s="314" t="s">
        <v>454</v>
      </c>
      <c r="F24" s="314" t="s">
        <v>455</v>
      </c>
      <c r="G24" s="315" t="s">
        <v>456</v>
      </c>
    </row>
    <row r="25" spans="1:7" ht="16.5" x14ac:dyDescent="0.3">
      <c r="A25" s="316"/>
      <c r="B25" s="317" t="s">
        <v>457</v>
      </c>
      <c r="C25" s="317" t="s">
        <v>441</v>
      </c>
      <c r="D25" s="313" t="s">
        <v>458</v>
      </c>
      <c r="E25" s="314"/>
      <c r="F25" s="318"/>
      <c r="G25" s="318"/>
    </row>
    <row r="26" spans="1:7" ht="16.5" x14ac:dyDescent="0.3">
      <c r="A26" s="319" t="s">
        <v>459</v>
      </c>
      <c r="B26" s="320"/>
      <c r="C26" s="320"/>
      <c r="D26" s="328">
        <f>'[2]2021-22 Estt'!D42</f>
        <v>4518279.24</v>
      </c>
      <c r="E26" s="314">
        <v>12</v>
      </c>
      <c r="F26" s="322">
        <f>D26*6%</f>
        <v>271096.75439999998</v>
      </c>
      <c r="G26" s="322">
        <f>F26</f>
        <v>271096.75439999998</v>
      </c>
    </row>
    <row r="27" spans="1:7" ht="16.5" x14ac:dyDescent="0.3">
      <c r="A27" s="323" t="s">
        <v>460</v>
      </c>
      <c r="B27" s="320"/>
      <c r="C27" s="324"/>
      <c r="D27" s="325">
        <f t="shared" ref="D27:D38" si="2">D26+C27</f>
        <v>4518279.24</v>
      </c>
      <c r="E27" s="314">
        <v>12</v>
      </c>
      <c r="F27" s="322">
        <f>C27*6%</f>
        <v>0</v>
      </c>
      <c r="G27" s="322">
        <f>F27</f>
        <v>0</v>
      </c>
    </row>
    <row r="28" spans="1:7" ht="16.5" x14ac:dyDescent="0.3">
      <c r="A28" s="323" t="s">
        <v>461</v>
      </c>
      <c r="B28" s="320"/>
      <c r="C28" s="324"/>
      <c r="D28" s="325">
        <f t="shared" si="2"/>
        <v>4518279.24</v>
      </c>
      <c r="E28" s="314">
        <v>11</v>
      </c>
      <c r="F28" s="322">
        <f>C28*6%</f>
        <v>0</v>
      </c>
      <c r="G28" s="322">
        <f>F28/12*11</f>
        <v>0</v>
      </c>
    </row>
    <row r="29" spans="1:7" ht="16.5" x14ac:dyDescent="0.3">
      <c r="A29" s="323" t="s">
        <v>462</v>
      </c>
      <c r="B29" s="320"/>
      <c r="C29" s="324"/>
      <c r="D29" s="325">
        <f t="shared" si="2"/>
        <v>4518279.24</v>
      </c>
      <c r="E29" s="314">
        <v>10</v>
      </c>
      <c r="F29" s="322">
        <f>C29*6%</f>
        <v>0</v>
      </c>
      <c r="G29" s="322">
        <f>F29/12*10</f>
        <v>0</v>
      </c>
    </row>
    <row r="30" spans="1:7" ht="16.5" x14ac:dyDescent="0.3">
      <c r="A30" s="323" t="s">
        <v>463</v>
      </c>
      <c r="B30" s="320"/>
      <c r="C30" s="324"/>
      <c r="D30" s="325">
        <f t="shared" si="2"/>
        <v>4518279.24</v>
      </c>
      <c r="E30" s="314">
        <v>9</v>
      </c>
      <c r="F30" s="322">
        <f>C30*E30%</f>
        <v>0</v>
      </c>
      <c r="G30" s="322">
        <f>F30/12*9</f>
        <v>0</v>
      </c>
    </row>
    <row r="31" spans="1:7" ht="16.5" x14ac:dyDescent="0.3">
      <c r="A31" s="323" t="s">
        <v>464</v>
      </c>
      <c r="B31" s="320"/>
      <c r="C31" s="324"/>
      <c r="D31" s="325">
        <f t="shared" si="2"/>
        <v>4518279.24</v>
      </c>
      <c r="E31" s="314">
        <v>8</v>
      </c>
      <c r="F31" s="322">
        <f t="shared" ref="F31:F38" si="3">C31*6%</f>
        <v>0</v>
      </c>
      <c r="G31" s="322">
        <f>F31/12*8</f>
        <v>0</v>
      </c>
    </row>
    <row r="32" spans="1:7" ht="16.5" x14ac:dyDescent="0.3">
      <c r="A32" s="323" t="s">
        <v>465</v>
      </c>
      <c r="B32" s="320"/>
      <c r="C32" s="324"/>
      <c r="D32" s="325">
        <f t="shared" si="2"/>
        <v>4518279.24</v>
      </c>
      <c r="E32" s="314">
        <v>7</v>
      </c>
      <c r="F32" s="322">
        <f t="shared" si="3"/>
        <v>0</v>
      </c>
      <c r="G32" s="322">
        <f>F32/12*7</f>
        <v>0</v>
      </c>
    </row>
    <row r="33" spans="1:10" ht="16.5" x14ac:dyDescent="0.3">
      <c r="A33" s="323" t="s">
        <v>466</v>
      </c>
      <c r="B33" s="320"/>
      <c r="C33" s="324"/>
      <c r="D33" s="325">
        <f t="shared" si="2"/>
        <v>4518279.24</v>
      </c>
      <c r="E33" s="314">
        <v>6</v>
      </c>
      <c r="F33" s="322">
        <f t="shared" si="3"/>
        <v>0</v>
      </c>
      <c r="G33" s="322">
        <f>F33/12*6</f>
        <v>0</v>
      </c>
    </row>
    <row r="34" spans="1:10" ht="16.5" x14ac:dyDescent="0.3">
      <c r="A34" s="323" t="s">
        <v>467</v>
      </c>
      <c r="B34" s="320"/>
      <c r="C34" s="324"/>
      <c r="D34" s="325">
        <f t="shared" si="2"/>
        <v>4518279.24</v>
      </c>
      <c r="E34" s="314">
        <v>5</v>
      </c>
      <c r="F34" s="322">
        <f t="shared" si="3"/>
        <v>0</v>
      </c>
      <c r="G34" s="322">
        <f>F34/12*5</f>
        <v>0</v>
      </c>
    </row>
    <row r="35" spans="1:10" ht="16.5" x14ac:dyDescent="0.3">
      <c r="A35" s="323" t="s">
        <v>468</v>
      </c>
      <c r="B35" s="320"/>
      <c r="C35" s="324"/>
      <c r="D35" s="325">
        <f t="shared" si="2"/>
        <v>4518279.24</v>
      </c>
      <c r="E35" s="314">
        <v>4</v>
      </c>
      <c r="F35" s="322">
        <f t="shared" si="3"/>
        <v>0</v>
      </c>
      <c r="G35" s="322">
        <f>F35/12*4</f>
        <v>0</v>
      </c>
      <c r="I35" s="330"/>
      <c r="J35" s="330"/>
    </row>
    <row r="36" spans="1:10" ht="16.5" x14ac:dyDescent="0.3">
      <c r="A36" s="323" t="s">
        <v>469</v>
      </c>
      <c r="B36" s="320"/>
      <c r="C36" s="324"/>
      <c r="D36" s="325">
        <f t="shared" si="2"/>
        <v>4518279.24</v>
      </c>
      <c r="E36" s="314">
        <v>3</v>
      </c>
      <c r="F36" s="322">
        <f t="shared" si="3"/>
        <v>0</v>
      </c>
      <c r="G36" s="322">
        <f>F36/12*3</f>
        <v>0</v>
      </c>
    </row>
    <row r="37" spans="1:10" ht="16.5" x14ac:dyDescent="0.3">
      <c r="A37" s="323" t="s">
        <v>470</v>
      </c>
      <c r="B37" s="320"/>
      <c r="C37" s="324"/>
      <c r="D37" s="325">
        <f t="shared" si="2"/>
        <v>4518279.24</v>
      </c>
      <c r="E37" s="314">
        <v>2</v>
      </c>
      <c r="F37" s="322">
        <f t="shared" si="3"/>
        <v>0</v>
      </c>
      <c r="G37" s="322">
        <f>F37/12*2</f>
        <v>0</v>
      </c>
    </row>
    <row r="38" spans="1:10" ht="16.5" x14ac:dyDescent="0.3">
      <c r="A38" s="323" t="s">
        <v>471</v>
      </c>
      <c r="B38" s="320"/>
      <c r="C38" s="324"/>
      <c r="D38" s="325">
        <f t="shared" si="2"/>
        <v>4518279.24</v>
      </c>
      <c r="E38" s="314">
        <v>1</v>
      </c>
      <c r="F38" s="322">
        <f t="shared" si="3"/>
        <v>0</v>
      </c>
      <c r="G38" s="322">
        <f>F38/12*1</f>
        <v>0</v>
      </c>
    </row>
    <row r="39" spans="1:10" ht="16.5" x14ac:dyDescent="0.3">
      <c r="A39" s="316" t="s">
        <v>472</v>
      </c>
      <c r="B39" s="326"/>
      <c r="C39" s="327">
        <f>SUM(C27:C38)</f>
        <v>0</v>
      </c>
      <c r="D39" s="328">
        <f>D38</f>
        <v>4518279.24</v>
      </c>
      <c r="E39" s="314"/>
      <c r="F39" s="318"/>
      <c r="G39" s="329">
        <f>SUM(G26:G38)</f>
        <v>271096.75439999998</v>
      </c>
    </row>
    <row r="41" spans="1:10" ht="16.5" x14ac:dyDescent="0.3">
      <c r="D41" s="331"/>
      <c r="E41" s="331"/>
      <c r="F41" s="331"/>
      <c r="G41" s="331"/>
    </row>
    <row r="42" spans="1:10" ht="16.5" x14ac:dyDescent="0.3">
      <c r="A42" s="32" t="s">
        <v>341</v>
      </c>
      <c r="D42" s="36">
        <f>D39+D19</f>
        <v>100422564.03999999</v>
      </c>
      <c r="E42" s="331"/>
      <c r="F42" s="331"/>
      <c r="G42" s="36">
        <f>G39+G19</f>
        <v>5906906.3873999994</v>
      </c>
    </row>
  </sheetData>
  <mergeCells count="10">
    <mergeCell ref="A21:A24"/>
    <mergeCell ref="B21:G21"/>
    <mergeCell ref="B22:G22"/>
    <mergeCell ref="B23:G23"/>
    <mergeCell ref="B24:C24"/>
    <mergeCell ref="A1:A4"/>
    <mergeCell ref="B1:G1"/>
    <mergeCell ref="B2:G2"/>
    <mergeCell ref="B3:G3"/>
    <mergeCell ref="B4:C4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ED17C-676D-4DD5-8B04-E4B39BEBFB56}">
  <dimension ref="A1:J11"/>
  <sheetViews>
    <sheetView workbookViewId="0">
      <selection activeCell="A4" sqref="A4"/>
    </sheetView>
  </sheetViews>
  <sheetFormatPr defaultRowHeight="15" x14ac:dyDescent="0.25"/>
  <cols>
    <col min="1" max="1" width="5.5703125" style="332" customWidth="1"/>
    <col min="2" max="2" width="21.85546875" style="332" customWidth="1"/>
    <col min="3" max="3" width="14" style="332" customWidth="1"/>
    <col min="4" max="4" width="13.5703125" style="332" customWidth="1"/>
    <col min="5" max="5" width="13.85546875" style="332" customWidth="1"/>
    <col min="6" max="6" width="13.28515625" style="332" customWidth="1"/>
    <col min="7" max="7" width="12.7109375" style="332" customWidth="1"/>
    <col min="8" max="10" width="14.5703125" style="332" bestFit="1" customWidth="1"/>
    <col min="11" max="16384" width="9.140625" style="332"/>
  </cols>
  <sheetData>
    <row r="1" spans="1:10" ht="16.5" x14ac:dyDescent="0.3">
      <c r="A1" s="457" t="s">
        <v>162</v>
      </c>
      <c r="B1" s="457"/>
      <c r="C1" s="457"/>
      <c r="D1" s="457"/>
      <c r="E1" s="457"/>
      <c r="F1" s="457"/>
      <c r="G1" s="457"/>
      <c r="H1" s="457"/>
      <c r="I1" s="457"/>
      <c r="J1" s="457"/>
    </row>
    <row r="2" spans="1:10" ht="16.5" x14ac:dyDescent="0.3">
      <c r="A2" s="333"/>
      <c r="B2" s="333"/>
      <c r="C2" s="334"/>
      <c r="D2" s="334"/>
      <c r="E2" s="334"/>
      <c r="F2" s="334"/>
      <c r="G2" s="334"/>
      <c r="H2" s="334"/>
      <c r="I2" s="334"/>
      <c r="J2" s="334"/>
    </row>
    <row r="3" spans="1:10" ht="16.5" x14ac:dyDescent="0.3">
      <c r="A3" s="457" t="s">
        <v>751</v>
      </c>
      <c r="B3" s="457"/>
      <c r="C3" s="457"/>
      <c r="D3" s="457"/>
      <c r="E3" s="457"/>
      <c r="F3" s="457"/>
      <c r="G3" s="457"/>
      <c r="H3" s="457"/>
      <c r="I3" s="457"/>
      <c r="J3" s="457"/>
    </row>
    <row r="4" spans="1:10" ht="16.5" x14ac:dyDescent="0.3">
      <c r="A4" s="333"/>
      <c r="B4" s="333"/>
      <c r="C4" s="334"/>
      <c r="D4" s="334"/>
      <c r="E4" s="334"/>
      <c r="F4" s="334"/>
      <c r="G4" s="334"/>
      <c r="H4" s="334"/>
      <c r="I4" s="334"/>
      <c r="J4" s="334"/>
    </row>
    <row r="5" spans="1:10" ht="49.5" x14ac:dyDescent="0.3">
      <c r="A5" s="335" t="s">
        <v>168</v>
      </c>
      <c r="B5" s="336" t="s">
        <v>169</v>
      </c>
      <c r="C5" s="337" t="s">
        <v>170</v>
      </c>
      <c r="D5" s="337" t="s">
        <v>234</v>
      </c>
      <c r="E5" s="337" t="s">
        <v>235</v>
      </c>
      <c r="F5" s="337" t="s">
        <v>236</v>
      </c>
      <c r="G5" s="337" t="s">
        <v>237</v>
      </c>
      <c r="H5" s="337" t="s">
        <v>238</v>
      </c>
      <c r="I5" s="337" t="s">
        <v>171</v>
      </c>
      <c r="J5" s="337" t="s">
        <v>172</v>
      </c>
    </row>
    <row r="6" spans="1:10" ht="24.95" customHeight="1" x14ac:dyDescent="0.3">
      <c r="A6" s="338">
        <v>1</v>
      </c>
      <c r="B6" s="339" t="s">
        <v>475</v>
      </c>
      <c r="C6" s="340">
        <v>17711782</v>
      </c>
      <c r="D6" s="340">
        <v>24525104</v>
      </c>
      <c r="E6" s="341">
        <v>12062028</v>
      </c>
      <c r="F6" s="341">
        <v>17400302.5</v>
      </c>
      <c r="G6" s="341">
        <v>10837939.5</v>
      </c>
      <c r="H6" s="341">
        <v>9005255</v>
      </c>
      <c r="I6" s="342">
        <v>11000000</v>
      </c>
      <c r="J6" s="342">
        <v>13000000</v>
      </c>
    </row>
    <row r="7" spans="1:10" ht="24.95" customHeight="1" x14ac:dyDescent="0.3">
      <c r="A7" s="338">
        <v>2</v>
      </c>
      <c r="B7" s="339" t="s">
        <v>476</v>
      </c>
      <c r="C7" s="340">
        <v>2271580.0499999998</v>
      </c>
      <c r="D7" s="340">
        <v>3999967.74</v>
      </c>
      <c r="E7" s="340">
        <v>3482341</v>
      </c>
      <c r="F7" s="341">
        <v>5842345.5</v>
      </c>
      <c r="G7" s="341">
        <v>2241549.2799999998</v>
      </c>
      <c r="H7" s="341">
        <v>3137146.51</v>
      </c>
      <c r="I7" s="342">
        <v>4900000</v>
      </c>
      <c r="J7" s="342">
        <v>5000000</v>
      </c>
    </row>
    <row r="8" spans="1:10" ht="24.95" customHeight="1" x14ac:dyDescent="0.3">
      <c r="A8" s="338">
        <v>3</v>
      </c>
      <c r="B8" s="339" t="s">
        <v>477</v>
      </c>
      <c r="C8" s="340">
        <v>15754474</v>
      </c>
      <c r="D8" s="340">
        <v>33763803.369999997</v>
      </c>
      <c r="E8" s="341">
        <v>14224092</v>
      </c>
      <c r="F8" s="340">
        <v>40040621</v>
      </c>
      <c r="G8" s="340">
        <v>25293158</v>
      </c>
      <c r="H8" s="340">
        <v>14338572</v>
      </c>
      <c r="I8" s="339">
        <v>20000000</v>
      </c>
      <c r="J8" s="339">
        <v>20000000</v>
      </c>
    </row>
    <row r="9" spans="1:10" ht="24.95" customHeight="1" x14ac:dyDescent="0.3">
      <c r="A9" s="338">
        <v>4</v>
      </c>
      <c r="B9" s="33" t="s">
        <v>478</v>
      </c>
      <c r="C9" s="340">
        <v>27295299.810000006</v>
      </c>
      <c r="D9" s="340">
        <v>78928508.479999989</v>
      </c>
      <c r="E9" s="340">
        <v>110293696.42</v>
      </c>
      <c r="F9" s="340">
        <v>134540132.29999998</v>
      </c>
      <c r="G9" s="340">
        <v>158790831.16</v>
      </c>
      <c r="H9" s="340">
        <v>48842933.740000002</v>
      </c>
      <c r="I9" s="339">
        <v>39530835.119999997</v>
      </c>
      <c r="J9" s="339">
        <v>40500000</v>
      </c>
    </row>
    <row r="10" spans="1:10" ht="24.95" customHeight="1" x14ac:dyDescent="0.3">
      <c r="A10" s="338">
        <v>5</v>
      </c>
      <c r="B10" s="33" t="s">
        <v>479</v>
      </c>
      <c r="C10" s="340">
        <v>50807.760000000009</v>
      </c>
      <c r="D10" s="340">
        <v>48171.360000000001</v>
      </c>
      <c r="E10" s="340">
        <v>62745.649999999994</v>
      </c>
      <c r="F10" s="340">
        <v>60546.020000000011</v>
      </c>
      <c r="G10" s="340">
        <v>60577.090000000004</v>
      </c>
      <c r="H10" s="340">
        <v>45801.53</v>
      </c>
      <c r="I10" s="339">
        <v>49069.14</v>
      </c>
      <c r="J10" s="339">
        <v>50000</v>
      </c>
    </row>
    <row r="11" spans="1:10" ht="16.5" x14ac:dyDescent="0.3">
      <c r="A11" s="338"/>
      <c r="B11" s="343" t="s">
        <v>247</v>
      </c>
      <c r="C11" s="344">
        <f t="shared" ref="C11:J11" si="0">SUM(C6:C10)</f>
        <v>63083943.619999997</v>
      </c>
      <c r="D11" s="344">
        <f t="shared" si="0"/>
        <v>141265554.94999999</v>
      </c>
      <c r="E11" s="344">
        <f t="shared" si="0"/>
        <v>140124903.07000002</v>
      </c>
      <c r="F11" s="344">
        <f t="shared" si="0"/>
        <v>197883947.31999999</v>
      </c>
      <c r="G11" s="344">
        <f t="shared" si="0"/>
        <v>197224055.03</v>
      </c>
      <c r="H11" s="344">
        <f t="shared" si="0"/>
        <v>75369708.780000001</v>
      </c>
      <c r="I11" s="344">
        <f t="shared" si="0"/>
        <v>75479904.260000005</v>
      </c>
      <c r="J11" s="344">
        <f t="shared" si="0"/>
        <v>78550000</v>
      </c>
    </row>
  </sheetData>
  <mergeCells count="2">
    <mergeCell ref="A1:J1"/>
    <mergeCell ref="A3:J3"/>
  </mergeCells>
  <printOptions horizontalCentered="1"/>
  <pageMargins left="0.31496062992125984" right="0.31496062992125984" top="0.98425196850393704" bottom="0.39370078740157483" header="0.31496062992125984" footer="0.31496062992125984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80930-3A1F-4B8D-AB43-36D315862876}">
  <dimension ref="A1:P33"/>
  <sheetViews>
    <sheetView workbookViewId="0">
      <selection activeCell="A3" sqref="A3"/>
    </sheetView>
  </sheetViews>
  <sheetFormatPr defaultRowHeight="15" x14ac:dyDescent="0.25"/>
  <cols>
    <col min="1" max="1" width="6" customWidth="1"/>
    <col min="2" max="2" width="23.85546875" style="381" customWidth="1"/>
    <col min="4" max="4" width="7" customWidth="1"/>
    <col min="5" max="5" width="9.28515625" customWidth="1"/>
    <col min="8" max="8" width="7.5703125" customWidth="1"/>
    <col min="9" max="9" width="8.85546875" customWidth="1"/>
    <col min="10" max="10" width="7.7109375" customWidth="1"/>
    <col min="11" max="11" width="9" customWidth="1"/>
    <col min="12" max="12" width="7.42578125" customWidth="1"/>
    <col min="13" max="13" width="7.85546875" customWidth="1"/>
    <col min="14" max="14" width="8" customWidth="1"/>
    <col min="15" max="15" width="8.140625" customWidth="1"/>
  </cols>
  <sheetData>
    <row r="1" spans="1:16" x14ac:dyDescent="0.25">
      <c r="A1" s="465" t="s">
        <v>718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</row>
    <row r="2" spans="1:16" x14ac:dyDescent="0.25">
      <c r="A2" s="466" t="s">
        <v>752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</row>
    <row r="3" spans="1:16" x14ac:dyDescent="0.25">
      <c r="A3" s="348"/>
      <c r="B3" s="349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50"/>
      <c r="O3" s="348"/>
    </row>
    <row r="4" spans="1:16" x14ac:dyDescent="0.25">
      <c r="A4" s="467" t="s">
        <v>254</v>
      </c>
      <c r="B4" s="470" t="s">
        <v>146</v>
      </c>
      <c r="C4" s="473" t="s">
        <v>16</v>
      </c>
      <c r="D4" s="474"/>
      <c r="E4" s="475"/>
      <c r="F4" s="458" t="s">
        <v>21</v>
      </c>
      <c r="G4" s="458"/>
      <c r="H4" s="458" t="s">
        <v>22</v>
      </c>
      <c r="I4" s="458"/>
      <c r="J4" s="458" t="s">
        <v>719</v>
      </c>
      <c r="K4" s="458"/>
      <c r="L4" s="458" t="s">
        <v>720</v>
      </c>
      <c r="M4" s="458"/>
      <c r="N4" s="473" t="s">
        <v>721</v>
      </c>
      <c r="O4" s="475"/>
    </row>
    <row r="5" spans="1:16" ht="22.5" x14ac:dyDescent="0.25">
      <c r="A5" s="468"/>
      <c r="B5" s="471"/>
      <c r="C5" s="351" t="s">
        <v>722</v>
      </c>
      <c r="D5" s="351" t="s">
        <v>723</v>
      </c>
      <c r="E5" s="351" t="s">
        <v>724</v>
      </c>
      <c r="F5" s="351" t="s">
        <v>723</v>
      </c>
      <c r="G5" s="351" t="s">
        <v>724</v>
      </c>
      <c r="H5" s="351" t="s">
        <v>723</v>
      </c>
      <c r="I5" s="351" t="s">
        <v>724</v>
      </c>
      <c r="J5" s="351" t="s">
        <v>723</v>
      </c>
      <c r="K5" s="351" t="s">
        <v>724</v>
      </c>
      <c r="L5" s="351" t="s">
        <v>723</v>
      </c>
      <c r="M5" s="351" t="s">
        <v>724</v>
      </c>
      <c r="N5" s="458" t="s">
        <v>472</v>
      </c>
      <c r="O5" s="458"/>
    </row>
    <row r="6" spans="1:16" ht="0.75" customHeight="1" x14ac:dyDescent="0.25">
      <c r="A6" s="469"/>
      <c r="B6" s="472"/>
      <c r="C6" s="352"/>
      <c r="D6" s="352"/>
      <c r="E6" s="352"/>
      <c r="F6" s="352"/>
      <c r="G6" s="352"/>
      <c r="H6" s="352"/>
      <c r="I6" s="352"/>
      <c r="J6" s="352"/>
      <c r="K6" s="352"/>
      <c r="L6" s="352"/>
      <c r="M6" s="352"/>
      <c r="N6" s="353" t="s">
        <v>725</v>
      </c>
      <c r="O6" s="353" t="s">
        <v>726</v>
      </c>
    </row>
    <row r="7" spans="1:16" x14ac:dyDescent="0.25">
      <c r="A7" s="353">
        <v>1</v>
      </c>
      <c r="B7" s="354" t="s">
        <v>727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5"/>
      <c r="O7" s="353"/>
    </row>
    <row r="8" spans="1:16" ht="24.95" customHeight="1" x14ac:dyDescent="0.25">
      <c r="A8" s="353"/>
      <c r="B8" s="356" t="s">
        <v>728</v>
      </c>
      <c r="C8" s="357">
        <f>P8*3</f>
        <v>108399</v>
      </c>
      <c r="D8" s="358">
        <v>26</v>
      </c>
      <c r="E8" s="358">
        <f>D8*C8/100000</f>
        <v>28.18374</v>
      </c>
      <c r="F8" s="359">
        <f>(D8)*10%+D8</f>
        <v>28.6</v>
      </c>
      <c r="G8" s="358">
        <f t="shared" ref="G8:G26" si="0">F8*C8/100000</f>
        <v>31.002114000000002</v>
      </c>
      <c r="H8" s="359">
        <f>(F8)*10%+F8</f>
        <v>31.46</v>
      </c>
      <c r="I8" s="358">
        <f t="shared" ref="I8:I26" si="1">H8*C8/100000</f>
        <v>34.102325399999998</v>
      </c>
      <c r="J8" s="359">
        <f>(H8)*10%+H8</f>
        <v>34.606000000000002</v>
      </c>
      <c r="K8" s="358">
        <f t="shared" ref="K8:K26" si="2">J8*C8/100000</f>
        <v>37.512557940000001</v>
      </c>
      <c r="L8" s="358">
        <f>(J8)*10%+J8</f>
        <v>38.066600000000001</v>
      </c>
      <c r="M8" s="358">
        <f t="shared" ref="M8:M26" si="3">L8*C8/100000</f>
        <v>41.263813733999996</v>
      </c>
      <c r="N8" s="359">
        <f>L8+J8+H8+F8+D8</f>
        <v>158.73259999999999</v>
      </c>
      <c r="O8" s="358">
        <f>N8*C8/100000</f>
        <v>172.06455107400001</v>
      </c>
      <c r="P8">
        <v>36133</v>
      </c>
    </row>
    <row r="9" spans="1:16" ht="24.95" customHeight="1" x14ac:dyDescent="0.25">
      <c r="A9" s="353"/>
      <c r="B9" s="356" t="s">
        <v>729</v>
      </c>
      <c r="C9" s="357">
        <f>P9</f>
        <v>36133</v>
      </c>
      <c r="D9" s="358">
        <v>15</v>
      </c>
      <c r="E9" s="358">
        <f t="shared" ref="E9:E19" si="4">D9*C9/100000</f>
        <v>5.41995</v>
      </c>
      <c r="F9" s="359">
        <f t="shared" ref="F9:F26" si="5">(D9)*10%+D9</f>
        <v>16.5</v>
      </c>
      <c r="G9" s="358">
        <f t="shared" si="0"/>
        <v>5.9619450000000001</v>
      </c>
      <c r="H9" s="359">
        <f t="shared" ref="H9:H26" si="6">(F9)*10%+F9</f>
        <v>18.149999999999999</v>
      </c>
      <c r="I9" s="358">
        <f t="shared" si="1"/>
        <v>6.5581394999999993</v>
      </c>
      <c r="J9" s="359">
        <f t="shared" ref="J9:J26" si="7">(H9)*10%+H9</f>
        <v>19.965</v>
      </c>
      <c r="K9" s="358">
        <f t="shared" si="2"/>
        <v>7.21395345</v>
      </c>
      <c r="L9" s="358">
        <f t="shared" ref="L9:L26" si="8">(J9)*10%+J9</f>
        <v>21.961500000000001</v>
      </c>
      <c r="M9" s="358">
        <f t="shared" si="3"/>
        <v>7.9353487950000003</v>
      </c>
      <c r="N9" s="359">
        <f t="shared" ref="N9:N26" si="9">L9+J9+H9+F9+D9</f>
        <v>91.57650000000001</v>
      </c>
      <c r="O9" s="358">
        <f t="shared" ref="O9:O26" si="10">N9*C9/100000</f>
        <v>33.089336745000004</v>
      </c>
      <c r="P9">
        <v>36133</v>
      </c>
    </row>
    <row r="10" spans="1:16" ht="24.95" customHeight="1" x14ac:dyDescent="0.25">
      <c r="A10" s="353"/>
      <c r="B10" s="356" t="s">
        <v>730</v>
      </c>
      <c r="C10" s="357">
        <f>P10*4</f>
        <v>105800</v>
      </c>
      <c r="D10" s="358">
        <v>46</v>
      </c>
      <c r="E10" s="358">
        <f t="shared" si="4"/>
        <v>48.667999999999999</v>
      </c>
      <c r="F10" s="359">
        <f t="shared" si="5"/>
        <v>50.6</v>
      </c>
      <c r="G10" s="358">
        <f t="shared" si="0"/>
        <v>53.534799999999997</v>
      </c>
      <c r="H10" s="359">
        <f t="shared" si="6"/>
        <v>55.660000000000004</v>
      </c>
      <c r="I10" s="358">
        <f t="shared" si="1"/>
        <v>58.888280000000002</v>
      </c>
      <c r="J10" s="359">
        <f t="shared" si="7"/>
        <v>61.226000000000006</v>
      </c>
      <c r="K10" s="358">
        <f t="shared" si="2"/>
        <v>64.777108000000013</v>
      </c>
      <c r="L10" s="358">
        <f t="shared" si="8"/>
        <v>67.348600000000005</v>
      </c>
      <c r="M10" s="358">
        <f t="shared" si="3"/>
        <v>71.25481880000001</v>
      </c>
      <c r="N10" s="359">
        <f t="shared" si="9"/>
        <v>280.83460000000002</v>
      </c>
      <c r="O10" s="358">
        <f t="shared" si="10"/>
        <v>297.12300680000004</v>
      </c>
      <c r="P10">
        <v>26450</v>
      </c>
    </row>
    <row r="11" spans="1:16" ht="24.95" customHeight="1" x14ac:dyDescent="0.25">
      <c r="A11" s="353"/>
      <c r="B11" s="356" t="s">
        <v>731</v>
      </c>
      <c r="C11" s="357">
        <f>P11*3</f>
        <v>79350</v>
      </c>
      <c r="D11" s="357">
        <v>65</v>
      </c>
      <c r="E11" s="358">
        <f t="shared" si="4"/>
        <v>51.577500000000001</v>
      </c>
      <c r="F11" s="359">
        <f t="shared" si="5"/>
        <v>71.5</v>
      </c>
      <c r="G11" s="358">
        <f t="shared" si="0"/>
        <v>56.735250000000001</v>
      </c>
      <c r="H11" s="359">
        <f t="shared" si="6"/>
        <v>78.650000000000006</v>
      </c>
      <c r="I11" s="358">
        <f t="shared" si="1"/>
        <v>62.408774999999999</v>
      </c>
      <c r="J11" s="359">
        <f t="shared" si="7"/>
        <v>86.515000000000001</v>
      </c>
      <c r="K11" s="358">
        <f t="shared" si="2"/>
        <v>68.649652500000002</v>
      </c>
      <c r="L11" s="358">
        <f t="shared" si="8"/>
        <v>95.166499999999999</v>
      </c>
      <c r="M11" s="358">
        <f t="shared" si="3"/>
        <v>75.514617749999999</v>
      </c>
      <c r="N11" s="359">
        <f t="shared" si="9"/>
        <v>396.83150000000001</v>
      </c>
      <c r="O11" s="358">
        <f t="shared" si="10"/>
        <v>314.88579525</v>
      </c>
      <c r="P11">
        <v>26450</v>
      </c>
    </row>
    <row r="12" spans="1:16" s="362" customFormat="1" ht="10.5" customHeight="1" x14ac:dyDescent="0.25">
      <c r="A12" s="360"/>
      <c r="B12" s="459" t="s">
        <v>472</v>
      </c>
      <c r="C12" s="460"/>
      <c r="D12" s="461"/>
      <c r="E12" s="361">
        <f>SUM(E8:E11)</f>
        <v>133.84919000000002</v>
      </c>
      <c r="F12" s="361"/>
      <c r="G12" s="361">
        <f>SUM(G8:G11)</f>
        <v>147.23410900000002</v>
      </c>
      <c r="H12" s="361"/>
      <c r="I12" s="361">
        <f>SUM(I8:I11)</f>
        <v>161.95751989999999</v>
      </c>
      <c r="J12" s="361"/>
      <c r="K12" s="361">
        <f>SUM(K8:K11)</f>
        <v>178.15327189000001</v>
      </c>
      <c r="L12" s="361"/>
      <c r="M12" s="361">
        <f>SUM(M8:M11)</f>
        <v>195.968599079</v>
      </c>
      <c r="N12" s="361"/>
      <c r="O12" s="361">
        <f>SUM(O8:O11)</f>
        <v>817.16268986900002</v>
      </c>
    </row>
    <row r="13" spans="1:16" ht="20.100000000000001" customHeight="1" x14ac:dyDescent="0.25">
      <c r="A13" s="353">
        <v>2</v>
      </c>
      <c r="B13" s="363" t="s">
        <v>732</v>
      </c>
      <c r="C13" s="357"/>
      <c r="D13" s="357"/>
      <c r="E13" s="358">
        <f t="shared" si="4"/>
        <v>0</v>
      </c>
      <c r="F13" s="357"/>
      <c r="G13" s="358"/>
      <c r="H13" s="357"/>
      <c r="I13" s="358"/>
      <c r="J13" s="357"/>
      <c r="K13" s="358"/>
      <c r="L13" s="358"/>
      <c r="M13" s="358"/>
      <c r="N13" s="359"/>
      <c r="O13" s="358"/>
    </row>
    <row r="14" spans="1:16" ht="15" customHeight="1" x14ac:dyDescent="0.25">
      <c r="A14" s="353"/>
      <c r="B14" s="356" t="s">
        <v>733</v>
      </c>
      <c r="C14" s="357">
        <v>479650</v>
      </c>
      <c r="D14" s="357">
        <v>90</v>
      </c>
      <c r="E14" s="358">
        <f t="shared" si="4"/>
        <v>431.685</v>
      </c>
      <c r="F14" s="357">
        <f t="shared" si="5"/>
        <v>99</v>
      </c>
      <c r="G14" s="358">
        <f t="shared" si="0"/>
        <v>474.8535</v>
      </c>
      <c r="H14" s="357">
        <f t="shared" si="6"/>
        <v>108.9</v>
      </c>
      <c r="I14" s="358">
        <f t="shared" si="1"/>
        <v>522.33884999999998</v>
      </c>
      <c r="J14" s="357">
        <f t="shared" si="7"/>
        <v>119.79</v>
      </c>
      <c r="K14" s="358">
        <f t="shared" si="2"/>
        <v>574.57273499999997</v>
      </c>
      <c r="L14" s="358">
        <f t="shared" si="8"/>
        <v>131.76900000000001</v>
      </c>
      <c r="M14" s="358">
        <f t="shared" si="3"/>
        <v>632.03000850000001</v>
      </c>
      <c r="N14" s="359">
        <f t="shared" si="9"/>
        <v>549.45900000000006</v>
      </c>
      <c r="O14" s="358">
        <f t="shared" si="10"/>
        <v>2635.4800935000003</v>
      </c>
    </row>
    <row r="15" spans="1:16" ht="15" customHeight="1" x14ac:dyDescent="0.25">
      <c r="A15" s="353"/>
      <c r="B15" s="356" t="s">
        <v>734</v>
      </c>
      <c r="C15" s="357">
        <v>236785</v>
      </c>
      <c r="D15" s="357">
        <v>20</v>
      </c>
      <c r="E15" s="358">
        <f t="shared" si="4"/>
        <v>47.356999999999999</v>
      </c>
      <c r="F15" s="357">
        <f t="shared" si="5"/>
        <v>22</v>
      </c>
      <c r="G15" s="358">
        <f t="shared" si="0"/>
        <v>52.092700000000001</v>
      </c>
      <c r="H15" s="357">
        <f t="shared" si="6"/>
        <v>24.2</v>
      </c>
      <c r="I15" s="358">
        <f t="shared" si="1"/>
        <v>57.301969999999997</v>
      </c>
      <c r="J15" s="357">
        <f t="shared" si="7"/>
        <v>26.619999999999997</v>
      </c>
      <c r="K15" s="358">
        <f t="shared" si="2"/>
        <v>63.032166999999994</v>
      </c>
      <c r="L15" s="358">
        <f t="shared" si="8"/>
        <v>29.281999999999996</v>
      </c>
      <c r="M15" s="358">
        <f t="shared" si="3"/>
        <v>69.335383699999994</v>
      </c>
      <c r="N15" s="359">
        <f t="shared" si="9"/>
        <v>122.10199999999999</v>
      </c>
      <c r="O15" s="358">
        <f t="shared" si="10"/>
        <v>289.11922069999997</v>
      </c>
    </row>
    <row r="16" spans="1:16" ht="15" customHeight="1" x14ac:dyDescent="0.25">
      <c r="A16" s="353"/>
      <c r="B16" s="356" t="s">
        <v>735</v>
      </c>
      <c r="C16" s="357">
        <v>138116</v>
      </c>
      <c r="D16" s="358">
        <v>95</v>
      </c>
      <c r="E16" s="358">
        <f t="shared" si="4"/>
        <v>131.21019999999999</v>
      </c>
      <c r="F16" s="358">
        <f t="shared" si="5"/>
        <v>104.5</v>
      </c>
      <c r="G16" s="358">
        <f t="shared" si="0"/>
        <v>144.33122</v>
      </c>
      <c r="H16" s="358">
        <f t="shared" si="6"/>
        <v>114.95</v>
      </c>
      <c r="I16" s="358">
        <f t="shared" si="1"/>
        <v>158.764342</v>
      </c>
      <c r="J16" s="358">
        <f t="shared" si="7"/>
        <v>126.44500000000001</v>
      </c>
      <c r="K16" s="358">
        <f t="shared" si="2"/>
        <v>174.6407762</v>
      </c>
      <c r="L16" s="358">
        <f t="shared" si="8"/>
        <v>139.08950000000002</v>
      </c>
      <c r="M16" s="358">
        <f t="shared" si="3"/>
        <v>192.10485382000002</v>
      </c>
      <c r="N16" s="359">
        <f t="shared" si="9"/>
        <v>579.98450000000003</v>
      </c>
      <c r="O16" s="358">
        <f t="shared" si="10"/>
        <v>801.05139202000009</v>
      </c>
    </row>
    <row r="17" spans="1:16" ht="15" customHeight="1" x14ac:dyDescent="0.25">
      <c r="A17" s="353"/>
      <c r="B17" s="356" t="s">
        <v>736</v>
      </c>
      <c r="C17" s="357">
        <v>99629</v>
      </c>
      <c r="D17" s="358">
        <v>75</v>
      </c>
      <c r="E17" s="358">
        <f t="shared" si="4"/>
        <v>74.72175</v>
      </c>
      <c r="F17" s="358">
        <f t="shared" si="5"/>
        <v>82.5</v>
      </c>
      <c r="G17" s="358">
        <f t="shared" si="0"/>
        <v>82.193924999999993</v>
      </c>
      <c r="H17" s="358">
        <f t="shared" si="6"/>
        <v>90.75</v>
      </c>
      <c r="I17" s="358">
        <f t="shared" si="1"/>
        <v>90.413317500000005</v>
      </c>
      <c r="J17" s="358">
        <f t="shared" si="7"/>
        <v>99.825000000000003</v>
      </c>
      <c r="K17" s="358">
        <f t="shared" si="2"/>
        <v>99.454649250000003</v>
      </c>
      <c r="L17" s="358">
        <f t="shared" si="8"/>
        <v>109.8075</v>
      </c>
      <c r="M17" s="358">
        <f t="shared" si="3"/>
        <v>109.400114175</v>
      </c>
      <c r="N17" s="359">
        <f t="shared" si="9"/>
        <v>457.88249999999999</v>
      </c>
      <c r="O17" s="358">
        <f t="shared" si="10"/>
        <v>456.18375592500001</v>
      </c>
    </row>
    <row r="18" spans="1:16" ht="15" customHeight="1" x14ac:dyDescent="0.25">
      <c r="A18" s="353"/>
      <c r="B18" s="356" t="s">
        <v>737</v>
      </c>
      <c r="C18" s="357">
        <v>66960</v>
      </c>
      <c r="D18" s="358">
        <v>50</v>
      </c>
      <c r="E18" s="358">
        <f t="shared" si="4"/>
        <v>33.479999999999997</v>
      </c>
      <c r="F18" s="358">
        <f t="shared" si="5"/>
        <v>55</v>
      </c>
      <c r="G18" s="358">
        <f t="shared" si="0"/>
        <v>36.828000000000003</v>
      </c>
      <c r="H18" s="358">
        <f t="shared" si="6"/>
        <v>60.5</v>
      </c>
      <c r="I18" s="358">
        <f t="shared" si="1"/>
        <v>40.510800000000003</v>
      </c>
      <c r="J18" s="358">
        <f t="shared" si="7"/>
        <v>66.55</v>
      </c>
      <c r="K18" s="358">
        <f t="shared" si="2"/>
        <v>44.561880000000002</v>
      </c>
      <c r="L18" s="358">
        <f t="shared" si="8"/>
        <v>73.204999999999998</v>
      </c>
      <c r="M18" s="358">
        <f t="shared" si="3"/>
        <v>49.018068</v>
      </c>
      <c r="N18" s="359">
        <f t="shared" si="9"/>
        <v>305.255</v>
      </c>
      <c r="O18" s="358">
        <f t="shared" si="10"/>
        <v>204.39874800000001</v>
      </c>
    </row>
    <row r="19" spans="1:16" ht="15" customHeight="1" x14ac:dyDescent="0.25">
      <c r="A19" s="353"/>
      <c r="B19" s="356" t="s">
        <v>738</v>
      </c>
      <c r="C19" s="357">
        <v>35803</v>
      </c>
      <c r="D19" s="358">
        <v>30</v>
      </c>
      <c r="E19" s="358">
        <f t="shared" si="4"/>
        <v>10.7409</v>
      </c>
      <c r="F19" s="358">
        <f t="shared" si="5"/>
        <v>33</v>
      </c>
      <c r="G19" s="358">
        <f t="shared" si="0"/>
        <v>11.81499</v>
      </c>
      <c r="H19" s="358">
        <f t="shared" si="6"/>
        <v>36.299999999999997</v>
      </c>
      <c r="I19" s="358">
        <f t="shared" si="1"/>
        <v>12.996488999999999</v>
      </c>
      <c r="J19" s="358">
        <f t="shared" si="7"/>
        <v>39.93</v>
      </c>
      <c r="K19" s="358">
        <f t="shared" si="2"/>
        <v>14.2961379</v>
      </c>
      <c r="L19" s="358">
        <f t="shared" si="8"/>
        <v>43.923000000000002</v>
      </c>
      <c r="M19" s="358">
        <f t="shared" si="3"/>
        <v>15.725751689999999</v>
      </c>
      <c r="N19" s="359">
        <f t="shared" si="9"/>
        <v>183.15300000000002</v>
      </c>
      <c r="O19" s="358">
        <f t="shared" si="10"/>
        <v>65.574268590000017</v>
      </c>
    </row>
    <row r="20" spans="1:16" s="362" customFormat="1" ht="10.5" customHeight="1" x14ac:dyDescent="0.25">
      <c r="A20" s="360"/>
      <c r="B20" s="462" t="s">
        <v>472</v>
      </c>
      <c r="C20" s="463"/>
      <c r="D20" s="464"/>
      <c r="E20" s="361">
        <f>SUM(E14:E19)</f>
        <v>729.19485000000009</v>
      </c>
      <c r="F20" s="361"/>
      <c r="G20" s="361">
        <f t="shared" ref="G20:O20" si="11">SUM(G14:G19)</f>
        <v>802.11433499999998</v>
      </c>
      <c r="H20" s="361"/>
      <c r="I20" s="361">
        <f t="shared" si="11"/>
        <v>882.32576849999998</v>
      </c>
      <c r="J20" s="361"/>
      <c r="K20" s="361">
        <f t="shared" si="11"/>
        <v>970.55834534999985</v>
      </c>
      <c r="L20" s="361"/>
      <c r="M20" s="361">
        <f t="shared" si="11"/>
        <v>1067.6141798849999</v>
      </c>
      <c r="N20" s="361"/>
      <c r="O20" s="361">
        <f t="shared" si="11"/>
        <v>4451.8074787350006</v>
      </c>
    </row>
    <row r="21" spans="1:16" ht="15" customHeight="1" x14ac:dyDescent="0.25">
      <c r="A21" s="353">
        <v>3</v>
      </c>
      <c r="B21" s="363" t="s">
        <v>739</v>
      </c>
      <c r="C21" s="357"/>
      <c r="D21" s="358"/>
      <c r="E21" s="358"/>
      <c r="F21" s="358"/>
      <c r="G21" s="358"/>
      <c r="H21" s="358"/>
      <c r="I21" s="358"/>
      <c r="J21" s="358"/>
      <c r="K21" s="358"/>
      <c r="L21" s="358"/>
      <c r="M21" s="358"/>
      <c r="N21" s="359"/>
      <c r="O21" s="358"/>
    </row>
    <row r="22" spans="1:16" ht="15" customHeight="1" x14ac:dyDescent="0.25">
      <c r="A22" s="353"/>
      <c r="B22" s="356" t="s">
        <v>740</v>
      </c>
      <c r="C22" s="357">
        <v>2848</v>
      </c>
      <c r="D22" s="358">
        <v>5000</v>
      </c>
      <c r="E22" s="358">
        <v>0</v>
      </c>
      <c r="F22" s="358">
        <f t="shared" si="5"/>
        <v>5500</v>
      </c>
      <c r="G22" s="358">
        <f t="shared" si="0"/>
        <v>156.63999999999999</v>
      </c>
      <c r="H22" s="358">
        <f t="shared" si="6"/>
        <v>6050</v>
      </c>
      <c r="I22" s="358">
        <f t="shared" si="1"/>
        <v>172.304</v>
      </c>
      <c r="J22" s="358">
        <f t="shared" si="7"/>
        <v>6655</v>
      </c>
      <c r="K22" s="358">
        <f t="shared" si="2"/>
        <v>189.53440000000001</v>
      </c>
      <c r="L22" s="358">
        <f t="shared" si="8"/>
        <v>7320.5</v>
      </c>
      <c r="M22" s="358">
        <f t="shared" si="3"/>
        <v>208.48784000000001</v>
      </c>
      <c r="N22" s="359">
        <f t="shared" si="9"/>
        <v>30525.5</v>
      </c>
      <c r="O22" s="358">
        <f t="shared" si="10"/>
        <v>869.36623999999995</v>
      </c>
      <c r="P22" s="364"/>
    </row>
    <row r="23" spans="1:16" ht="15" customHeight="1" x14ac:dyDescent="0.25">
      <c r="A23" s="353"/>
      <c r="B23" s="356" t="s">
        <v>741</v>
      </c>
      <c r="C23" s="357">
        <v>5733</v>
      </c>
      <c r="D23" s="358">
        <v>650</v>
      </c>
      <c r="E23" s="358">
        <v>3.6184500000000002</v>
      </c>
      <c r="F23" s="358">
        <f t="shared" si="5"/>
        <v>715</v>
      </c>
      <c r="G23" s="358">
        <f t="shared" si="0"/>
        <v>40.990949999999998</v>
      </c>
      <c r="H23" s="358">
        <f t="shared" si="6"/>
        <v>786.5</v>
      </c>
      <c r="I23" s="358">
        <f t="shared" si="1"/>
        <v>45.090045000000003</v>
      </c>
      <c r="J23" s="358">
        <f t="shared" si="7"/>
        <v>865.15</v>
      </c>
      <c r="K23" s="358">
        <f t="shared" si="2"/>
        <v>49.5990495</v>
      </c>
      <c r="L23" s="358">
        <f t="shared" si="8"/>
        <v>951.66499999999996</v>
      </c>
      <c r="M23" s="358">
        <f t="shared" si="3"/>
        <v>54.558954449999995</v>
      </c>
      <c r="N23" s="359">
        <f t="shared" si="9"/>
        <v>3968.3150000000001</v>
      </c>
      <c r="O23" s="358">
        <f t="shared" si="10"/>
        <v>227.50349894999999</v>
      </c>
      <c r="P23" s="364"/>
    </row>
    <row r="24" spans="1:16" ht="15" customHeight="1" x14ac:dyDescent="0.25">
      <c r="A24" s="353"/>
      <c r="B24" s="356" t="s">
        <v>742</v>
      </c>
      <c r="C24" s="357">
        <v>13301</v>
      </c>
      <c r="D24" s="358">
        <v>75</v>
      </c>
      <c r="E24" s="358">
        <v>0.18920000000000001</v>
      </c>
      <c r="F24" s="358">
        <f t="shared" si="5"/>
        <v>82.5</v>
      </c>
      <c r="G24" s="358">
        <f t="shared" si="0"/>
        <v>10.973325000000001</v>
      </c>
      <c r="H24" s="358">
        <f t="shared" si="6"/>
        <v>90.75</v>
      </c>
      <c r="I24" s="358">
        <f t="shared" si="1"/>
        <v>12.070657499999999</v>
      </c>
      <c r="J24" s="358">
        <f t="shared" si="7"/>
        <v>99.825000000000003</v>
      </c>
      <c r="K24" s="358">
        <f t="shared" si="2"/>
        <v>13.277723249999999</v>
      </c>
      <c r="L24" s="358">
        <f t="shared" si="8"/>
        <v>109.8075</v>
      </c>
      <c r="M24" s="358">
        <f t="shared" si="3"/>
        <v>14.605495575000001</v>
      </c>
      <c r="N24" s="359">
        <f t="shared" si="9"/>
        <v>457.88249999999999</v>
      </c>
      <c r="O24" s="358">
        <f t="shared" si="10"/>
        <v>60.902951325000004</v>
      </c>
      <c r="P24" s="364"/>
    </row>
    <row r="25" spans="1:16" ht="15" customHeight="1" x14ac:dyDescent="0.25">
      <c r="A25" s="353"/>
      <c r="B25" s="356" t="s">
        <v>743</v>
      </c>
      <c r="C25" s="357">
        <v>11885</v>
      </c>
      <c r="D25" s="358">
        <v>20</v>
      </c>
      <c r="E25" s="358">
        <v>0.82774999999999999</v>
      </c>
      <c r="F25" s="358">
        <f t="shared" si="5"/>
        <v>22</v>
      </c>
      <c r="G25" s="358">
        <f t="shared" si="0"/>
        <v>2.6147</v>
      </c>
      <c r="H25" s="358">
        <f t="shared" si="6"/>
        <v>24.2</v>
      </c>
      <c r="I25" s="358">
        <f t="shared" si="1"/>
        <v>2.8761700000000001</v>
      </c>
      <c r="J25" s="358">
        <f t="shared" si="7"/>
        <v>26.619999999999997</v>
      </c>
      <c r="K25" s="358">
        <f t="shared" si="2"/>
        <v>3.1637869999999997</v>
      </c>
      <c r="L25" s="358">
        <f t="shared" si="8"/>
        <v>29.281999999999996</v>
      </c>
      <c r="M25" s="358">
        <f t="shared" si="3"/>
        <v>3.4801656999999997</v>
      </c>
      <c r="N25" s="359">
        <f t="shared" si="9"/>
        <v>122.10199999999999</v>
      </c>
      <c r="O25" s="358">
        <f t="shared" si="10"/>
        <v>14.511822699999998</v>
      </c>
      <c r="P25" s="364"/>
    </row>
    <row r="26" spans="1:16" ht="15" customHeight="1" x14ac:dyDescent="0.25">
      <c r="A26" s="353"/>
      <c r="B26" s="356" t="s">
        <v>744</v>
      </c>
      <c r="C26" s="357">
        <v>8235</v>
      </c>
      <c r="D26" s="358">
        <v>1200</v>
      </c>
      <c r="E26" s="358">
        <v>17.441050000000001</v>
      </c>
      <c r="F26" s="358">
        <f t="shared" si="5"/>
        <v>1320</v>
      </c>
      <c r="G26" s="358">
        <f t="shared" si="0"/>
        <v>108.702</v>
      </c>
      <c r="H26" s="358">
        <f t="shared" si="6"/>
        <v>1452</v>
      </c>
      <c r="I26" s="358">
        <f t="shared" si="1"/>
        <v>119.5722</v>
      </c>
      <c r="J26" s="358">
        <f t="shared" si="7"/>
        <v>1597.2</v>
      </c>
      <c r="K26" s="358">
        <f t="shared" si="2"/>
        <v>131.52941999999999</v>
      </c>
      <c r="L26" s="358">
        <f t="shared" si="8"/>
        <v>1756.92</v>
      </c>
      <c r="M26" s="358">
        <f t="shared" si="3"/>
        <v>144.68236200000001</v>
      </c>
      <c r="N26" s="359">
        <f t="shared" si="9"/>
        <v>7326.12</v>
      </c>
      <c r="O26" s="358">
        <f t="shared" si="10"/>
        <v>603.30598199999997</v>
      </c>
      <c r="P26" s="364"/>
    </row>
    <row r="27" spans="1:16" ht="15" customHeight="1" x14ac:dyDescent="0.25">
      <c r="A27" s="353"/>
      <c r="B27" s="365" t="s">
        <v>472</v>
      </c>
      <c r="C27" s="357"/>
      <c r="D27" s="366"/>
      <c r="E27" s="361">
        <v>4255.9592789670005</v>
      </c>
      <c r="F27" s="366"/>
      <c r="G27" s="361">
        <f>SUM(G8:G26)</f>
        <v>2218.6178630000004</v>
      </c>
      <c r="H27" s="366"/>
      <c r="I27" s="361">
        <f>SUM(I8:I26)</f>
        <v>2440.4796492999999</v>
      </c>
      <c r="J27" s="366"/>
      <c r="K27" s="361">
        <f>SUM(K8:K26)</f>
        <v>2684.5276142299999</v>
      </c>
      <c r="L27" s="361"/>
      <c r="M27" s="361">
        <f>SUM(M8:M26)</f>
        <v>2952.980375653</v>
      </c>
      <c r="N27" s="366"/>
      <c r="O27" s="361">
        <f>SUM(O8:O26)</f>
        <v>12313.530832183002</v>
      </c>
    </row>
    <row r="28" spans="1:16" ht="15" customHeight="1" x14ac:dyDescent="0.25">
      <c r="A28" s="367">
        <v>4</v>
      </c>
      <c r="B28" s="368" t="s">
        <v>745</v>
      </c>
      <c r="C28" s="369"/>
      <c r="D28" s="369"/>
      <c r="E28" s="370"/>
      <c r="F28" s="369"/>
      <c r="G28" s="370"/>
      <c r="H28" s="369"/>
      <c r="I28" s="370"/>
      <c r="J28" s="369"/>
      <c r="K28" s="369"/>
      <c r="L28" s="369"/>
      <c r="M28" s="369"/>
      <c r="N28" s="369"/>
      <c r="O28" s="370"/>
    </row>
    <row r="29" spans="1:16" ht="15" customHeight="1" x14ac:dyDescent="0.25">
      <c r="A29" s="367"/>
      <c r="B29" s="371" t="s">
        <v>746</v>
      </c>
      <c r="C29" s="369">
        <f>C8</f>
        <v>108399</v>
      </c>
      <c r="D29" s="369">
        <v>65</v>
      </c>
      <c r="E29" s="370">
        <f>D29*C29/100000</f>
        <v>70.459350000000001</v>
      </c>
      <c r="F29" s="372">
        <f>D29+D29*3%</f>
        <v>66.95</v>
      </c>
      <c r="G29" s="370">
        <f>C29*F29/100000</f>
        <v>72.573130500000005</v>
      </c>
      <c r="H29" s="373">
        <f>F29+F29*3%</f>
        <v>68.958500000000001</v>
      </c>
      <c r="I29" s="370">
        <f>C29*H29/100000</f>
        <v>74.750324414999994</v>
      </c>
      <c r="J29" s="373">
        <f>H29+H29*3%</f>
        <v>71.027254999999997</v>
      </c>
      <c r="K29" s="370">
        <f>C29*J29/100000</f>
        <v>76.992834147449997</v>
      </c>
      <c r="L29" s="373">
        <f>K29+K29*3%</f>
        <v>79.302619171873502</v>
      </c>
      <c r="M29" s="370">
        <f>C29*L29/100000</f>
        <v>85.963246156119169</v>
      </c>
      <c r="N29" s="369">
        <f t="shared" ref="N29:O31" si="12">L29+J29+H29+F29+D29</f>
        <v>351.23837417187349</v>
      </c>
      <c r="O29" s="370">
        <f t="shared" si="12"/>
        <v>380.73888521856918</v>
      </c>
    </row>
    <row r="30" spans="1:16" ht="15" customHeight="1" x14ac:dyDescent="0.25">
      <c r="A30" s="367"/>
      <c r="B30" s="371" t="s">
        <v>747</v>
      </c>
      <c r="C30" s="369">
        <f>C10</f>
        <v>105800</v>
      </c>
      <c r="D30" s="369">
        <v>55</v>
      </c>
      <c r="E30" s="370">
        <f>D30*C30/100000</f>
        <v>58.19</v>
      </c>
      <c r="F30" s="373">
        <f t="shared" ref="F30:F31" si="13">D30+D30*3%</f>
        <v>56.65</v>
      </c>
      <c r="G30" s="370">
        <f>C30*F30/100000</f>
        <v>59.935699999999997</v>
      </c>
      <c r="H30" s="373">
        <f t="shared" ref="H30:H31" si="14">F30+F30*3%</f>
        <v>58.349499999999999</v>
      </c>
      <c r="I30" s="370">
        <f>C30*H30/100000</f>
        <v>61.733770999999997</v>
      </c>
      <c r="J30" s="373">
        <f t="shared" ref="J30:J31" si="15">H30+H30*3%</f>
        <v>60.099984999999997</v>
      </c>
      <c r="K30" s="370">
        <f>C30*J30/100000</f>
        <v>63.58578413</v>
      </c>
      <c r="L30" s="373">
        <f t="shared" ref="L30:L31" si="16">K30+K30*3%</f>
        <v>65.493357653900006</v>
      </c>
      <c r="M30" s="370">
        <f>C30*L30/100000</f>
        <v>69.2919723978262</v>
      </c>
      <c r="N30" s="369">
        <f t="shared" si="12"/>
        <v>295.59284265389999</v>
      </c>
      <c r="O30" s="370">
        <f t="shared" si="12"/>
        <v>312.73722752782618</v>
      </c>
    </row>
    <row r="31" spans="1:16" ht="15" customHeight="1" x14ac:dyDescent="0.25">
      <c r="A31" s="367"/>
      <c r="B31" s="371" t="s">
        <v>748</v>
      </c>
      <c r="C31" s="369">
        <f>C16</f>
        <v>138116</v>
      </c>
      <c r="D31" s="369">
        <v>110</v>
      </c>
      <c r="E31" s="370">
        <f>D31*C31/100000</f>
        <v>151.92760000000001</v>
      </c>
      <c r="F31" s="373">
        <f t="shared" si="13"/>
        <v>113.3</v>
      </c>
      <c r="G31" s="370">
        <f>C31*F31/100000</f>
        <v>156.48542799999998</v>
      </c>
      <c r="H31" s="373">
        <f t="shared" si="14"/>
        <v>116.699</v>
      </c>
      <c r="I31" s="370">
        <f>C31*H31/100000</f>
        <v>161.17999083999999</v>
      </c>
      <c r="J31" s="373">
        <f t="shared" si="15"/>
        <v>120.19996999999999</v>
      </c>
      <c r="K31" s="370">
        <f>C31*J31/100000</f>
        <v>166.01539056519999</v>
      </c>
      <c r="L31" s="373">
        <f t="shared" si="16"/>
        <v>170.99585228215599</v>
      </c>
      <c r="M31" s="370">
        <f>C31*L31/100000</f>
        <v>236.17263133802257</v>
      </c>
      <c r="N31" s="369">
        <f t="shared" si="12"/>
        <v>631.194822282156</v>
      </c>
      <c r="O31" s="370">
        <f t="shared" si="12"/>
        <v>871.78104074322243</v>
      </c>
    </row>
    <row r="32" spans="1:16" ht="15" customHeight="1" x14ac:dyDescent="0.25">
      <c r="A32" s="367"/>
      <c r="B32" s="374" t="s">
        <v>749</v>
      </c>
      <c r="C32" s="369"/>
      <c r="D32" s="375"/>
      <c r="E32" s="376">
        <f>SUM(E29:E31)</f>
        <v>280.57695000000001</v>
      </c>
      <c r="F32" s="375"/>
      <c r="G32" s="376">
        <f>SUM(G29:G31)</f>
        <v>288.9942585</v>
      </c>
      <c r="H32" s="375"/>
      <c r="I32" s="376">
        <f>SUM(I29:I31)</f>
        <v>297.66408625499997</v>
      </c>
      <c r="J32" s="369"/>
      <c r="K32" s="376">
        <f>SUM(K29:K31)</f>
        <v>306.59400884265</v>
      </c>
      <c r="L32" s="375"/>
      <c r="M32" s="376">
        <f>SUM(M29:M31)</f>
        <v>391.42784989196798</v>
      </c>
      <c r="N32" s="375"/>
      <c r="O32" s="376">
        <f>SUM(O29:O31)</f>
        <v>1565.2571534896178</v>
      </c>
    </row>
    <row r="33" spans="1:15" s="380" customFormat="1" ht="20.25" customHeight="1" x14ac:dyDescent="0.25">
      <c r="A33" s="377"/>
      <c r="B33" s="374" t="s">
        <v>750</v>
      </c>
      <c r="C33" s="378"/>
      <c r="D33" s="378"/>
      <c r="E33" s="379">
        <f>E32+E27+E12</f>
        <v>4670.3854189670001</v>
      </c>
      <c r="F33" s="379"/>
      <c r="G33" s="379">
        <f t="shared" ref="G33:O33" si="17">G32+G27+G12</f>
        <v>2654.8462305000003</v>
      </c>
      <c r="H33" s="379"/>
      <c r="I33" s="379">
        <f t="shared" si="17"/>
        <v>2900.1012554549998</v>
      </c>
      <c r="J33" s="379"/>
      <c r="K33" s="379">
        <f t="shared" si="17"/>
        <v>3169.2748949626498</v>
      </c>
      <c r="L33" s="379"/>
      <c r="M33" s="379">
        <f t="shared" si="17"/>
        <v>3540.3768246239679</v>
      </c>
      <c r="N33" s="379"/>
      <c r="O33" s="379">
        <f t="shared" si="17"/>
        <v>14695.950675541619</v>
      </c>
    </row>
  </sheetData>
  <mergeCells count="13">
    <mergeCell ref="N5:O5"/>
    <mergeCell ref="B12:D12"/>
    <mergeCell ref="B20:D20"/>
    <mergeCell ref="A1:O1"/>
    <mergeCell ref="A2:O2"/>
    <mergeCell ref="A4:A6"/>
    <mergeCell ref="B4:B6"/>
    <mergeCell ref="C4:E4"/>
    <mergeCell ref="F4:G4"/>
    <mergeCell ref="H4:I4"/>
    <mergeCell ref="J4:K4"/>
    <mergeCell ref="L4:M4"/>
    <mergeCell ref="N4:O4"/>
  </mergeCells>
  <pageMargins left="0.53" right="0.31" top="0.38" bottom="0.75" header="0.3" footer="0.3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54209-2896-4C8B-B391-03C15D46BCBD}">
  <dimension ref="A1:I50"/>
  <sheetViews>
    <sheetView topLeftCell="A34" zoomScale="130" zoomScaleNormal="130" workbookViewId="0">
      <selection activeCell="F16" sqref="F16"/>
    </sheetView>
  </sheetViews>
  <sheetFormatPr defaultRowHeight="15" x14ac:dyDescent="0.25"/>
  <cols>
    <col min="1" max="1" width="41.140625" customWidth="1"/>
    <col min="2" max="2" width="16.140625" bestFit="1" customWidth="1"/>
    <col min="3" max="3" width="12.7109375" bestFit="1" customWidth="1"/>
    <col min="4" max="4" width="14.28515625" bestFit="1" customWidth="1"/>
    <col min="5" max="5" width="15.28515625" bestFit="1" customWidth="1"/>
    <col min="6" max="6" width="14.28515625" bestFit="1" customWidth="1"/>
    <col min="7" max="7" width="16.140625" bestFit="1" customWidth="1"/>
    <col min="8" max="8" width="18" bestFit="1" customWidth="1"/>
    <col min="9" max="9" width="10.7109375" bestFit="1" customWidth="1"/>
  </cols>
  <sheetData>
    <row r="1" spans="1:9" ht="15.75" x14ac:dyDescent="0.25">
      <c r="A1" s="479" t="s">
        <v>800</v>
      </c>
      <c r="B1" s="479"/>
      <c r="C1" s="479"/>
      <c r="D1" s="479"/>
      <c r="E1" s="479"/>
      <c r="F1" s="479"/>
      <c r="G1" s="479"/>
    </row>
    <row r="2" spans="1:9" ht="15.75" x14ac:dyDescent="0.25">
      <c r="A2" s="479" t="s">
        <v>754</v>
      </c>
      <c r="B2" s="479"/>
      <c r="C2" s="479"/>
      <c r="D2" s="479"/>
      <c r="E2" s="479"/>
      <c r="F2" s="479"/>
      <c r="G2" s="479"/>
    </row>
    <row r="3" spans="1:9" x14ac:dyDescent="0.25">
      <c r="A3" s="480" t="s">
        <v>799</v>
      </c>
      <c r="B3" s="480"/>
      <c r="C3" s="480"/>
      <c r="D3" s="480"/>
      <c r="E3" s="480"/>
      <c r="F3" s="480"/>
      <c r="G3" s="480"/>
    </row>
    <row r="4" spans="1:9" x14ac:dyDescent="0.25">
      <c r="A4" s="481" t="s">
        <v>755</v>
      </c>
      <c r="B4" s="481"/>
      <c r="C4" s="481"/>
      <c r="D4" s="481"/>
      <c r="E4" s="481"/>
      <c r="F4" s="481"/>
      <c r="G4" s="481"/>
    </row>
    <row r="5" spans="1:9" x14ac:dyDescent="0.25">
      <c r="A5" s="382" t="s">
        <v>756</v>
      </c>
      <c r="B5" s="482" t="s">
        <v>754</v>
      </c>
      <c r="C5" s="482"/>
      <c r="D5" s="482"/>
      <c r="E5" s="482"/>
      <c r="F5" s="482"/>
      <c r="G5" s="482"/>
    </row>
    <row r="6" spans="1:9" x14ac:dyDescent="0.25">
      <c r="A6" s="382" t="s">
        <v>756</v>
      </c>
      <c r="B6" s="477" t="s">
        <v>753</v>
      </c>
      <c r="C6" s="477"/>
      <c r="D6" s="477"/>
      <c r="E6" s="477"/>
      <c r="F6" s="477"/>
      <c r="G6" s="477"/>
    </row>
    <row r="7" spans="1:9" x14ac:dyDescent="0.25">
      <c r="A7" s="382" t="s">
        <v>146</v>
      </c>
      <c r="B7" s="476" t="s">
        <v>755</v>
      </c>
      <c r="C7" s="476"/>
      <c r="D7" s="476"/>
      <c r="E7" s="476"/>
      <c r="F7" s="476"/>
      <c r="G7" s="476"/>
    </row>
    <row r="8" spans="1:9" ht="30" customHeight="1" x14ac:dyDescent="0.25">
      <c r="A8" s="382" t="s">
        <v>756</v>
      </c>
      <c r="B8" s="383" t="s">
        <v>757</v>
      </c>
      <c r="C8" s="477" t="s">
        <v>758</v>
      </c>
      <c r="D8" s="478"/>
      <c r="E8" s="477" t="s">
        <v>759</v>
      </c>
      <c r="F8" s="478"/>
      <c r="G8" s="383" t="s">
        <v>453</v>
      </c>
    </row>
    <row r="9" spans="1:9" x14ac:dyDescent="0.25">
      <c r="A9" s="382" t="s">
        <v>756</v>
      </c>
      <c r="B9" s="383" t="s">
        <v>458</v>
      </c>
      <c r="C9" s="384" t="s">
        <v>457</v>
      </c>
      <c r="D9" s="384" t="s">
        <v>441</v>
      </c>
      <c r="E9" s="384" t="s">
        <v>457</v>
      </c>
      <c r="F9" s="384" t="s">
        <v>441</v>
      </c>
      <c r="G9" s="383" t="s">
        <v>458</v>
      </c>
    </row>
    <row r="10" spans="1:9" x14ac:dyDescent="0.25">
      <c r="A10" s="385" t="s">
        <v>760</v>
      </c>
      <c r="B10" s="386">
        <v>391027037.19</v>
      </c>
      <c r="C10" s="387"/>
      <c r="D10" s="387">
        <v>2620992.79</v>
      </c>
      <c r="E10" s="387">
        <v>71604804.609999999</v>
      </c>
      <c r="F10" s="387">
        <v>2430432.21</v>
      </c>
      <c r="G10" s="386">
        <f>B10+C10-D10+E10-F10</f>
        <v>457580416.80000001</v>
      </c>
      <c r="H10" s="388"/>
      <c r="I10" s="388"/>
    </row>
    <row r="11" spans="1:9" x14ac:dyDescent="0.25">
      <c r="A11" s="385" t="s">
        <v>761</v>
      </c>
      <c r="B11" s="386">
        <v>245242904.96000001</v>
      </c>
      <c r="C11" s="387"/>
      <c r="D11" s="387">
        <v>6339563.0099999998</v>
      </c>
      <c r="E11" s="387">
        <v>23496072.890000001</v>
      </c>
      <c r="F11" s="387">
        <v>3283465.92</v>
      </c>
      <c r="G11" s="386">
        <f t="shared" ref="G11:G48" si="0">B11+C11-D11+E11-F11</f>
        <v>259115948.92000005</v>
      </c>
      <c r="H11" s="388"/>
      <c r="I11" s="388"/>
    </row>
    <row r="12" spans="1:9" x14ac:dyDescent="0.25">
      <c r="A12" s="385" t="s">
        <v>762</v>
      </c>
      <c r="B12" s="386">
        <v>49755068.780000001</v>
      </c>
      <c r="C12" s="387"/>
      <c r="D12" s="387"/>
      <c r="E12" s="387">
        <v>5120191.72</v>
      </c>
      <c r="F12" s="387"/>
      <c r="G12" s="386">
        <f t="shared" si="0"/>
        <v>54875260.5</v>
      </c>
      <c r="H12" s="388"/>
      <c r="I12" s="388"/>
    </row>
    <row r="13" spans="1:9" x14ac:dyDescent="0.25">
      <c r="A13" s="385" t="s">
        <v>763</v>
      </c>
      <c r="B13" s="386">
        <v>132646722.95</v>
      </c>
      <c r="C13" s="387"/>
      <c r="D13" s="387"/>
      <c r="E13" s="387"/>
      <c r="F13" s="387"/>
      <c r="G13" s="386">
        <f t="shared" si="0"/>
        <v>132646722.95</v>
      </c>
      <c r="H13" s="388"/>
      <c r="I13" s="388"/>
    </row>
    <row r="14" spans="1:9" x14ac:dyDescent="0.25">
      <c r="A14" s="385" t="s">
        <v>764</v>
      </c>
      <c r="B14" s="386">
        <v>334367685.86000001</v>
      </c>
      <c r="C14" s="387"/>
      <c r="D14" s="387"/>
      <c r="E14" s="387">
        <v>23144496.789999999</v>
      </c>
      <c r="F14" s="387"/>
      <c r="G14" s="386">
        <f t="shared" si="0"/>
        <v>357512182.65000004</v>
      </c>
      <c r="H14" s="388"/>
      <c r="I14" s="388"/>
    </row>
    <row r="15" spans="1:9" x14ac:dyDescent="0.25">
      <c r="A15" s="385" t="s">
        <v>765</v>
      </c>
      <c r="B15" s="386">
        <v>3711104.38</v>
      </c>
      <c r="C15" s="387"/>
      <c r="D15" s="387"/>
      <c r="E15" s="387"/>
      <c r="F15" s="387"/>
      <c r="G15" s="386">
        <f t="shared" si="0"/>
        <v>3711104.38</v>
      </c>
      <c r="H15" s="388"/>
      <c r="I15" s="388"/>
    </row>
    <row r="16" spans="1:9" x14ac:dyDescent="0.25">
      <c r="A16" s="385" t="s">
        <v>766</v>
      </c>
      <c r="B16" s="386">
        <v>14938251.25</v>
      </c>
      <c r="C16" s="387"/>
      <c r="D16" s="387"/>
      <c r="E16" s="387">
        <v>1923941.93</v>
      </c>
      <c r="F16" s="387"/>
      <c r="G16" s="386">
        <f t="shared" si="0"/>
        <v>16862193.18</v>
      </c>
      <c r="H16" s="388"/>
      <c r="I16" s="388"/>
    </row>
    <row r="17" spans="1:9" x14ac:dyDescent="0.25">
      <c r="A17" s="385" t="s">
        <v>767</v>
      </c>
      <c r="B17" s="386">
        <v>536629944.56</v>
      </c>
      <c r="C17" s="387"/>
      <c r="D17" s="387">
        <v>4197597.8099999996</v>
      </c>
      <c r="E17" s="387">
        <v>75887546.469999999</v>
      </c>
      <c r="F17" s="387">
        <v>429345.27</v>
      </c>
      <c r="G17" s="386">
        <f t="shared" si="0"/>
        <v>607890547.95000005</v>
      </c>
      <c r="H17" s="388"/>
      <c r="I17" s="388"/>
    </row>
    <row r="18" spans="1:9" x14ac:dyDescent="0.25">
      <c r="A18" s="385" t="s">
        <v>768</v>
      </c>
      <c r="B18" s="386">
        <v>104880600.2</v>
      </c>
      <c r="C18" s="387"/>
      <c r="D18" s="387"/>
      <c r="E18" s="387"/>
      <c r="F18" s="387"/>
      <c r="G18" s="386">
        <f t="shared" si="0"/>
        <v>104880600.2</v>
      </c>
      <c r="H18" s="388"/>
      <c r="I18" s="388"/>
    </row>
    <row r="19" spans="1:9" x14ac:dyDescent="0.25">
      <c r="A19" s="385" t="s">
        <v>769</v>
      </c>
      <c r="B19" s="386">
        <v>36261089.479999997</v>
      </c>
      <c r="C19" s="387"/>
      <c r="D19" s="387"/>
      <c r="E19" s="387"/>
      <c r="F19" s="387"/>
      <c r="G19" s="386">
        <f t="shared" si="0"/>
        <v>36261089.479999997</v>
      </c>
      <c r="H19" s="388"/>
      <c r="I19" s="388"/>
    </row>
    <row r="20" spans="1:9" x14ac:dyDescent="0.25">
      <c r="A20" s="385" t="s">
        <v>770</v>
      </c>
      <c r="B20" s="386">
        <v>109380.08</v>
      </c>
      <c r="C20" s="387"/>
      <c r="D20" s="387"/>
      <c r="E20" s="387"/>
      <c r="F20" s="387"/>
      <c r="G20" s="386">
        <f t="shared" si="0"/>
        <v>109380.08</v>
      </c>
      <c r="H20" s="388"/>
      <c r="I20" s="388"/>
    </row>
    <row r="21" spans="1:9" x14ac:dyDescent="0.25">
      <c r="A21" s="385" t="s">
        <v>771</v>
      </c>
      <c r="B21" s="386">
        <v>31562819.059999999</v>
      </c>
      <c r="C21" s="387"/>
      <c r="D21" s="387"/>
      <c r="E21" s="387"/>
      <c r="F21" s="387"/>
      <c r="G21" s="386">
        <f t="shared" si="0"/>
        <v>31562819.059999999</v>
      </c>
      <c r="H21" s="388"/>
      <c r="I21" s="388"/>
    </row>
    <row r="22" spans="1:9" x14ac:dyDescent="0.25">
      <c r="A22" s="385" t="s">
        <v>772</v>
      </c>
      <c r="B22" s="386">
        <v>53573589.68</v>
      </c>
      <c r="C22" s="387"/>
      <c r="D22" s="387">
        <v>879155.72</v>
      </c>
      <c r="E22" s="387"/>
      <c r="F22" s="387">
        <v>283240.46999999997</v>
      </c>
      <c r="G22" s="386">
        <f t="shared" si="0"/>
        <v>52411193.490000002</v>
      </c>
      <c r="H22" s="388"/>
      <c r="I22" s="388"/>
    </row>
    <row r="23" spans="1:9" x14ac:dyDescent="0.25">
      <c r="A23" s="385" t="s">
        <v>773</v>
      </c>
      <c r="B23" s="386">
        <v>1457686.25</v>
      </c>
      <c r="C23" s="387"/>
      <c r="D23" s="387"/>
      <c r="E23" s="387"/>
      <c r="F23" s="387"/>
      <c r="G23" s="386">
        <f t="shared" si="0"/>
        <v>1457686.25</v>
      </c>
      <c r="H23" s="388"/>
      <c r="I23" s="388"/>
    </row>
    <row r="24" spans="1:9" x14ac:dyDescent="0.25">
      <c r="A24" s="385" t="s">
        <v>774</v>
      </c>
      <c r="B24" s="386">
        <v>165000</v>
      </c>
      <c r="C24" s="387"/>
      <c r="D24" s="387"/>
      <c r="E24" s="387"/>
      <c r="F24" s="387"/>
      <c r="G24" s="386">
        <f t="shared" si="0"/>
        <v>165000</v>
      </c>
      <c r="H24" s="388"/>
      <c r="I24" s="388"/>
    </row>
    <row r="25" spans="1:9" x14ac:dyDescent="0.25">
      <c r="A25" s="385" t="s">
        <v>775</v>
      </c>
      <c r="B25" s="386">
        <v>45807.67</v>
      </c>
      <c r="C25" s="387"/>
      <c r="D25" s="387"/>
      <c r="E25" s="387"/>
      <c r="F25" s="387"/>
      <c r="G25" s="386">
        <f t="shared" si="0"/>
        <v>45807.67</v>
      </c>
      <c r="H25" s="388"/>
      <c r="I25" s="388"/>
    </row>
    <row r="26" spans="1:9" x14ac:dyDescent="0.25">
      <c r="A26" s="385" t="s">
        <v>776</v>
      </c>
      <c r="B26" s="386">
        <v>12310.68</v>
      </c>
      <c r="C26" s="387"/>
      <c r="D26" s="387"/>
      <c r="E26" s="387"/>
      <c r="F26" s="387"/>
      <c r="G26" s="386">
        <f t="shared" si="0"/>
        <v>12310.68</v>
      </c>
      <c r="H26" s="388"/>
      <c r="I26" s="388"/>
    </row>
    <row r="27" spans="1:9" x14ac:dyDescent="0.25">
      <c r="A27" s="385" t="s">
        <v>777</v>
      </c>
      <c r="B27" s="386">
        <v>3215739.42</v>
      </c>
      <c r="C27" s="387"/>
      <c r="D27" s="387"/>
      <c r="E27" s="387"/>
      <c r="F27" s="387"/>
      <c r="G27" s="386">
        <f t="shared" si="0"/>
        <v>3215739.42</v>
      </c>
      <c r="H27" s="388"/>
      <c r="I27" s="388"/>
    </row>
    <row r="28" spans="1:9" x14ac:dyDescent="0.25">
      <c r="A28" s="385" t="s">
        <v>778</v>
      </c>
      <c r="B28" s="386">
        <v>169370.64</v>
      </c>
      <c r="C28" s="387"/>
      <c r="D28" s="387"/>
      <c r="E28" s="387"/>
      <c r="F28" s="387"/>
      <c r="G28" s="386">
        <f t="shared" si="0"/>
        <v>169370.64</v>
      </c>
      <c r="H28" s="388"/>
      <c r="I28" s="388"/>
    </row>
    <row r="29" spans="1:9" x14ac:dyDescent="0.25">
      <c r="A29" s="385" t="s">
        <v>779</v>
      </c>
      <c r="B29" s="386">
        <v>1310528.75</v>
      </c>
      <c r="C29" s="387">
        <v>895000</v>
      </c>
      <c r="D29" s="387"/>
      <c r="E29" s="387">
        <v>105000</v>
      </c>
      <c r="F29" s="387"/>
      <c r="G29" s="386">
        <f t="shared" si="0"/>
        <v>2310528.75</v>
      </c>
      <c r="H29" s="388"/>
      <c r="I29" s="388"/>
    </row>
    <row r="30" spans="1:9" x14ac:dyDescent="0.25">
      <c r="A30" s="385" t="s">
        <v>780</v>
      </c>
      <c r="B30" s="386">
        <v>28348.41</v>
      </c>
      <c r="C30" s="387"/>
      <c r="D30" s="387"/>
      <c r="E30" s="387"/>
      <c r="F30" s="387"/>
      <c r="G30" s="386">
        <f t="shared" si="0"/>
        <v>28348.41</v>
      </c>
      <c r="H30" s="388"/>
      <c r="I30" s="388"/>
    </row>
    <row r="31" spans="1:9" x14ac:dyDescent="0.25">
      <c r="A31" s="385" t="s">
        <v>781</v>
      </c>
      <c r="B31" s="386">
        <v>26300</v>
      </c>
      <c r="C31" s="387"/>
      <c r="D31" s="387"/>
      <c r="E31" s="387"/>
      <c r="F31" s="387"/>
      <c r="G31" s="386">
        <f t="shared" si="0"/>
        <v>26300</v>
      </c>
      <c r="H31" s="388"/>
      <c r="I31" s="388"/>
    </row>
    <row r="32" spans="1:9" x14ac:dyDescent="0.25">
      <c r="A32" s="385" t="s">
        <v>782</v>
      </c>
      <c r="B32" s="386">
        <v>335371.84000000003</v>
      </c>
      <c r="C32" s="387"/>
      <c r="D32" s="387"/>
      <c r="E32" s="387"/>
      <c r="F32" s="387"/>
      <c r="G32" s="386">
        <f t="shared" si="0"/>
        <v>335371.84000000003</v>
      </c>
      <c r="H32" s="388"/>
      <c r="I32" s="388"/>
    </row>
    <row r="33" spans="1:9" x14ac:dyDescent="0.25">
      <c r="A33" s="385" t="s">
        <v>783</v>
      </c>
      <c r="B33" s="386">
        <v>1895531.18</v>
      </c>
      <c r="C33" s="387">
        <v>55991</v>
      </c>
      <c r="D33" s="387"/>
      <c r="E33" s="387">
        <v>174900</v>
      </c>
      <c r="F33" s="387"/>
      <c r="G33" s="386">
        <f t="shared" si="0"/>
        <v>2126422.1799999997</v>
      </c>
      <c r="H33" s="388"/>
      <c r="I33" s="388"/>
    </row>
    <row r="34" spans="1:9" x14ac:dyDescent="0.25">
      <c r="A34" s="385" t="s">
        <v>784</v>
      </c>
      <c r="B34" s="386">
        <v>4507445.17</v>
      </c>
      <c r="C34" s="387"/>
      <c r="D34" s="387"/>
      <c r="E34" s="387"/>
      <c r="F34" s="387"/>
      <c r="G34" s="386">
        <f t="shared" si="0"/>
        <v>4507445.17</v>
      </c>
      <c r="H34" s="388"/>
      <c r="I34" s="388"/>
    </row>
    <row r="35" spans="1:9" x14ac:dyDescent="0.25">
      <c r="A35" s="385" t="s">
        <v>785</v>
      </c>
      <c r="B35" s="386">
        <v>116674.69</v>
      </c>
      <c r="C35" s="387"/>
      <c r="D35" s="387"/>
      <c r="E35" s="387"/>
      <c r="F35" s="387"/>
      <c r="G35" s="386">
        <f t="shared" si="0"/>
        <v>116674.69</v>
      </c>
      <c r="H35" s="388"/>
      <c r="I35" s="388"/>
    </row>
    <row r="36" spans="1:9" x14ac:dyDescent="0.25">
      <c r="A36" s="385" t="s">
        <v>786</v>
      </c>
      <c r="B36" s="386">
        <v>226166.88</v>
      </c>
      <c r="C36" s="387"/>
      <c r="D36" s="387"/>
      <c r="E36" s="387"/>
      <c r="F36" s="387"/>
      <c r="G36" s="386">
        <f t="shared" si="0"/>
        <v>226166.88</v>
      </c>
      <c r="H36" s="388"/>
      <c r="I36" s="388"/>
    </row>
    <row r="37" spans="1:9" x14ac:dyDescent="0.25">
      <c r="A37" s="385" t="s">
        <v>787</v>
      </c>
      <c r="B37" s="386">
        <v>824537</v>
      </c>
      <c r="C37" s="387"/>
      <c r="D37" s="387"/>
      <c r="E37" s="387"/>
      <c r="F37" s="387"/>
      <c r="G37" s="386">
        <f t="shared" si="0"/>
        <v>824537</v>
      </c>
      <c r="H37" s="388"/>
      <c r="I37" s="388"/>
    </row>
    <row r="38" spans="1:9" x14ac:dyDescent="0.25">
      <c r="A38" s="385" t="s">
        <v>788</v>
      </c>
      <c r="B38" s="386">
        <v>44264.480000000003</v>
      </c>
      <c r="C38" s="387"/>
      <c r="D38" s="387"/>
      <c r="E38" s="387"/>
      <c r="F38" s="387"/>
      <c r="G38" s="386">
        <f t="shared" si="0"/>
        <v>44264.480000000003</v>
      </c>
      <c r="H38" s="388"/>
      <c r="I38" s="388"/>
    </row>
    <row r="39" spans="1:9" x14ac:dyDescent="0.25">
      <c r="A39" s="385" t="s">
        <v>789</v>
      </c>
      <c r="B39" s="386">
        <v>50874.32</v>
      </c>
      <c r="C39" s="387"/>
      <c r="D39" s="387"/>
      <c r="E39" s="387"/>
      <c r="F39" s="387"/>
      <c r="G39" s="386">
        <f t="shared" si="0"/>
        <v>50874.32</v>
      </c>
      <c r="H39" s="388"/>
      <c r="I39" s="388"/>
    </row>
    <row r="40" spans="1:9" x14ac:dyDescent="0.25">
      <c r="A40" s="385" t="s">
        <v>790</v>
      </c>
      <c r="B40" s="386">
        <v>193833.3</v>
      </c>
      <c r="C40" s="387"/>
      <c r="D40" s="387"/>
      <c r="E40" s="387"/>
      <c r="F40" s="387"/>
      <c r="G40" s="386">
        <f t="shared" si="0"/>
        <v>193833.3</v>
      </c>
      <c r="H40" s="388"/>
      <c r="I40" s="388"/>
    </row>
    <row r="41" spans="1:9" x14ac:dyDescent="0.25">
      <c r="A41" s="385" t="s">
        <v>791</v>
      </c>
      <c r="B41" s="386">
        <v>354080</v>
      </c>
      <c r="C41" s="387"/>
      <c r="D41" s="387"/>
      <c r="E41" s="387"/>
      <c r="F41" s="387"/>
      <c r="G41" s="386">
        <f t="shared" si="0"/>
        <v>354080</v>
      </c>
      <c r="H41" s="388"/>
      <c r="I41" s="388"/>
    </row>
    <row r="42" spans="1:9" x14ac:dyDescent="0.25">
      <c r="A42" s="385" t="s">
        <v>792</v>
      </c>
      <c r="B42" s="386">
        <v>710500</v>
      </c>
      <c r="C42" s="387"/>
      <c r="D42" s="387"/>
      <c r="E42" s="387"/>
      <c r="F42" s="387"/>
      <c r="G42" s="386">
        <f t="shared" si="0"/>
        <v>710500</v>
      </c>
      <c r="H42" s="388"/>
      <c r="I42" s="388"/>
    </row>
    <row r="43" spans="1:9" x14ac:dyDescent="0.25">
      <c r="A43" s="385" t="s">
        <v>793</v>
      </c>
      <c r="B43" s="386">
        <v>4774236.17</v>
      </c>
      <c r="C43" s="387">
        <v>105374</v>
      </c>
      <c r="D43" s="387"/>
      <c r="E43" s="387">
        <v>222430</v>
      </c>
      <c r="F43" s="387"/>
      <c r="G43" s="386">
        <f t="shared" si="0"/>
        <v>5102040.17</v>
      </c>
      <c r="H43" s="388"/>
      <c r="I43" s="388"/>
    </row>
    <row r="44" spans="1:9" x14ac:dyDescent="0.25">
      <c r="A44" s="385" t="s">
        <v>794</v>
      </c>
      <c r="B44" s="386">
        <v>414145.83</v>
      </c>
      <c r="C44" s="387">
        <v>37224</v>
      </c>
      <c r="D44" s="387"/>
      <c r="E44" s="387"/>
      <c r="F44" s="387"/>
      <c r="G44" s="386">
        <f t="shared" si="0"/>
        <v>451369.83</v>
      </c>
      <c r="H44" s="388"/>
      <c r="I44" s="388"/>
    </row>
    <row r="45" spans="1:9" x14ac:dyDescent="0.25">
      <c r="A45" s="385" t="s">
        <v>795</v>
      </c>
      <c r="B45" s="386">
        <v>2509028.2000000002</v>
      </c>
      <c r="C45" s="387">
        <v>120000</v>
      </c>
      <c r="D45" s="387"/>
      <c r="E45" s="387">
        <v>339250</v>
      </c>
      <c r="F45" s="387"/>
      <c r="G45" s="386">
        <f t="shared" si="0"/>
        <v>2968278.2</v>
      </c>
      <c r="H45" s="388"/>
      <c r="I45" s="388"/>
    </row>
    <row r="46" spans="1:9" x14ac:dyDescent="0.25">
      <c r="A46" s="385" t="s">
        <v>796</v>
      </c>
      <c r="B46" s="386">
        <v>31900</v>
      </c>
      <c r="C46" s="387"/>
      <c r="D46" s="387"/>
      <c r="E46" s="387"/>
      <c r="F46" s="387"/>
      <c r="G46" s="386">
        <f t="shared" si="0"/>
        <v>31900</v>
      </c>
      <c r="H46" s="388"/>
      <c r="I46" s="388"/>
    </row>
    <row r="47" spans="1:9" x14ac:dyDescent="0.25">
      <c r="A47" s="385" t="s">
        <v>797</v>
      </c>
      <c r="B47" s="386">
        <v>97000</v>
      </c>
      <c r="C47" s="387"/>
      <c r="D47" s="387"/>
      <c r="E47" s="387"/>
      <c r="F47" s="387"/>
      <c r="G47" s="386">
        <f t="shared" si="0"/>
        <v>97000</v>
      </c>
      <c r="H47" s="388"/>
      <c r="I47" s="388"/>
    </row>
    <row r="48" spans="1:9" x14ac:dyDescent="0.25">
      <c r="A48" s="385" t="s">
        <v>798</v>
      </c>
      <c r="B48" s="386">
        <v>11500</v>
      </c>
      <c r="C48" s="387"/>
      <c r="D48" s="387"/>
      <c r="E48" s="387"/>
      <c r="F48" s="387"/>
      <c r="G48" s="386">
        <f t="shared" si="0"/>
        <v>11500</v>
      </c>
      <c r="H48" s="388"/>
      <c r="I48" s="388"/>
    </row>
    <row r="49" spans="1:9" x14ac:dyDescent="0.25">
      <c r="A49" s="382" t="s">
        <v>750</v>
      </c>
      <c r="B49" s="389">
        <f t="shared" ref="B49:G49" si="1">SUM(B10:B48)</f>
        <v>1958234379.3100007</v>
      </c>
      <c r="C49" s="390">
        <f t="shared" si="1"/>
        <v>1213589</v>
      </c>
      <c r="D49" s="390">
        <f t="shared" si="1"/>
        <v>14037309.33</v>
      </c>
      <c r="E49" s="390">
        <f t="shared" si="1"/>
        <v>202018634.41</v>
      </c>
      <c r="F49" s="390">
        <f t="shared" si="1"/>
        <v>6426483.8700000001</v>
      </c>
      <c r="G49" s="389">
        <f t="shared" si="1"/>
        <v>2141002809.5200009</v>
      </c>
      <c r="H49" s="388"/>
      <c r="I49" s="388"/>
    </row>
    <row r="50" spans="1:9" x14ac:dyDescent="0.25">
      <c r="G50" s="391"/>
    </row>
  </sheetData>
  <mergeCells count="9">
    <mergeCell ref="B7:G7"/>
    <mergeCell ref="C8:D8"/>
    <mergeCell ref="E8:F8"/>
    <mergeCell ref="A1:G1"/>
    <mergeCell ref="A2:G2"/>
    <mergeCell ref="A3:G3"/>
    <mergeCell ref="A4:G4"/>
    <mergeCell ref="B5:G5"/>
    <mergeCell ref="B6:G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E9A4A-4A4E-4A4D-AD30-FB31F95D4B12}">
  <dimension ref="A1:H60"/>
  <sheetViews>
    <sheetView workbookViewId="0">
      <selection activeCell="C5" sqref="C5"/>
    </sheetView>
  </sheetViews>
  <sheetFormatPr defaultRowHeight="15" x14ac:dyDescent="0.25"/>
  <cols>
    <col min="1" max="1" width="6.42578125" customWidth="1"/>
    <col min="2" max="2" width="11.42578125" bestFit="1" customWidth="1"/>
    <col min="3" max="3" width="35.140625" bestFit="1" customWidth="1"/>
    <col min="4" max="4" width="19.5703125" style="184" customWidth="1"/>
    <col min="5" max="5" width="20.5703125" bestFit="1" customWidth="1"/>
    <col min="6" max="6" width="24.5703125" bestFit="1" customWidth="1"/>
    <col min="7" max="7" width="4" bestFit="1" customWidth="1"/>
    <col min="8" max="8" width="6" bestFit="1" customWidth="1"/>
  </cols>
  <sheetData>
    <row r="1" spans="1:8" ht="16.5" customHeight="1" x14ac:dyDescent="0.25">
      <c r="A1" s="406" t="s">
        <v>510</v>
      </c>
      <c r="B1" s="406"/>
      <c r="C1" s="406"/>
      <c r="D1" s="406"/>
      <c r="E1" s="406"/>
      <c r="F1" s="406"/>
      <c r="G1" s="406"/>
      <c r="H1" s="406"/>
    </row>
    <row r="2" spans="1:8" ht="16.5" customHeight="1" x14ac:dyDescent="0.25">
      <c r="A2" s="483" t="s">
        <v>801</v>
      </c>
      <c r="B2" s="483"/>
      <c r="C2" s="483"/>
      <c r="D2" s="483"/>
      <c r="E2" s="483"/>
      <c r="F2" s="483"/>
      <c r="G2" s="483"/>
      <c r="H2" s="483"/>
    </row>
    <row r="3" spans="1:8" ht="27.75" customHeight="1" x14ac:dyDescent="0.25">
      <c r="A3" s="179" t="s">
        <v>28</v>
      </c>
      <c r="B3" s="179" t="s">
        <v>511</v>
      </c>
      <c r="C3" s="179" t="s">
        <v>512</v>
      </c>
      <c r="D3" s="180" t="s">
        <v>513</v>
      </c>
      <c r="E3" s="179" t="s">
        <v>514</v>
      </c>
      <c r="F3" s="179" t="s">
        <v>515</v>
      </c>
      <c r="G3" s="179" t="s">
        <v>516</v>
      </c>
      <c r="H3" s="181" t="s">
        <v>517</v>
      </c>
    </row>
    <row r="4" spans="1:8" ht="20.100000000000001" customHeight="1" x14ac:dyDescent="0.25">
      <c r="A4" s="15">
        <v>1</v>
      </c>
      <c r="B4" s="11" t="s">
        <v>518</v>
      </c>
      <c r="C4" s="11" t="s">
        <v>519</v>
      </c>
      <c r="D4" s="182" t="s">
        <v>520</v>
      </c>
      <c r="E4" s="11" t="s">
        <v>521</v>
      </c>
      <c r="F4" s="11" t="s">
        <v>522</v>
      </c>
      <c r="G4" s="11">
        <v>313</v>
      </c>
      <c r="H4" s="11">
        <v>450</v>
      </c>
    </row>
    <row r="5" spans="1:8" ht="20.100000000000001" customHeight="1" x14ac:dyDescent="0.25">
      <c r="A5" s="15">
        <v>2</v>
      </c>
      <c r="B5" s="11" t="s">
        <v>523</v>
      </c>
      <c r="C5" s="11" t="s">
        <v>524</v>
      </c>
      <c r="D5" s="182"/>
      <c r="E5" s="11" t="s">
        <v>525</v>
      </c>
      <c r="F5" s="11" t="s">
        <v>525</v>
      </c>
      <c r="G5" s="11">
        <v>311</v>
      </c>
      <c r="H5" s="11">
        <v>396</v>
      </c>
    </row>
    <row r="6" spans="1:8" ht="20.100000000000001" customHeight="1" x14ac:dyDescent="0.25">
      <c r="A6" s="15">
        <v>3</v>
      </c>
      <c r="B6" s="11" t="s">
        <v>526</v>
      </c>
      <c r="C6" s="11" t="s">
        <v>527</v>
      </c>
      <c r="D6" s="182" t="s">
        <v>528</v>
      </c>
      <c r="E6" s="11" t="s">
        <v>529</v>
      </c>
      <c r="F6" s="11" t="s">
        <v>530</v>
      </c>
      <c r="G6" s="11">
        <v>311</v>
      </c>
      <c r="H6" s="11">
        <v>396</v>
      </c>
    </row>
    <row r="7" spans="1:8" ht="20.100000000000001" customHeight="1" x14ac:dyDescent="0.25">
      <c r="A7" s="15">
        <v>4</v>
      </c>
      <c r="B7" s="11" t="s">
        <v>531</v>
      </c>
      <c r="C7" s="11" t="s">
        <v>532</v>
      </c>
      <c r="D7" s="182" t="s">
        <v>525</v>
      </c>
      <c r="E7" s="11" t="s">
        <v>525</v>
      </c>
      <c r="F7" s="11" t="s">
        <v>525</v>
      </c>
      <c r="G7" s="11">
        <v>311</v>
      </c>
      <c r="H7" s="11">
        <v>396</v>
      </c>
    </row>
    <row r="8" spans="1:8" ht="20.100000000000001" customHeight="1" x14ac:dyDescent="0.25">
      <c r="A8" s="15">
        <v>5</v>
      </c>
      <c r="B8" s="11" t="s">
        <v>533</v>
      </c>
      <c r="C8" s="11" t="s">
        <v>534</v>
      </c>
      <c r="D8" s="182" t="s">
        <v>525</v>
      </c>
      <c r="E8" s="11" t="s">
        <v>535</v>
      </c>
      <c r="F8" s="11" t="s">
        <v>525</v>
      </c>
      <c r="G8" s="11">
        <v>311</v>
      </c>
      <c r="H8" s="11">
        <v>297</v>
      </c>
    </row>
    <row r="9" spans="1:8" ht="20.100000000000001" customHeight="1" x14ac:dyDescent="0.25">
      <c r="A9" s="15">
        <v>6</v>
      </c>
      <c r="B9" s="11" t="s">
        <v>536</v>
      </c>
      <c r="C9" s="11" t="s">
        <v>537</v>
      </c>
      <c r="D9" s="182" t="s">
        <v>528</v>
      </c>
      <c r="E9" s="11" t="s">
        <v>525</v>
      </c>
      <c r="F9" s="11" t="s">
        <v>530</v>
      </c>
      <c r="G9" s="11">
        <v>311</v>
      </c>
      <c r="H9" s="11">
        <v>198</v>
      </c>
    </row>
    <row r="10" spans="1:8" ht="20.100000000000001" customHeight="1" x14ac:dyDescent="0.25">
      <c r="A10" s="15">
        <v>7</v>
      </c>
      <c r="B10" s="11" t="s">
        <v>538</v>
      </c>
      <c r="C10" s="11" t="s">
        <v>539</v>
      </c>
      <c r="D10" s="182" t="s">
        <v>540</v>
      </c>
      <c r="E10" s="11" t="s">
        <v>540</v>
      </c>
      <c r="F10" s="11" t="s">
        <v>541</v>
      </c>
      <c r="G10" s="11">
        <v>311</v>
      </c>
      <c r="H10" s="11">
        <v>150</v>
      </c>
    </row>
    <row r="11" spans="1:8" ht="20.100000000000001" customHeight="1" x14ac:dyDescent="0.25">
      <c r="A11" s="15">
        <v>8</v>
      </c>
      <c r="B11" s="11" t="s">
        <v>542</v>
      </c>
      <c r="C11" s="11" t="s">
        <v>543</v>
      </c>
      <c r="D11" s="182" t="s">
        <v>540</v>
      </c>
      <c r="E11" s="11" t="s">
        <v>540</v>
      </c>
      <c r="F11" s="11" t="s">
        <v>540</v>
      </c>
      <c r="G11" s="11">
        <v>311</v>
      </c>
      <c r="H11" s="11">
        <v>160</v>
      </c>
    </row>
    <row r="12" spans="1:8" ht="20.100000000000001" customHeight="1" x14ac:dyDescent="0.25">
      <c r="A12" s="15">
        <v>9</v>
      </c>
      <c r="B12" s="11" t="s">
        <v>544</v>
      </c>
      <c r="C12" s="11" t="s">
        <v>545</v>
      </c>
      <c r="D12" s="182" t="s">
        <v>546</v>
      </c>
      <c r="E12" s="11" t="s">
        <v>547</v>
      </c>
      <c r="F12" s="11" t="s">
        <v>548</v>
      </c>
      <c r="G12" s="11">
        <v>311</v>
      </c>
      <c r="H12" s="11">
        <v>179</v>
      </c>
    </row>
    <row r="13" spans="1:8" ht="20.100000000000001" customHeight="1" x14ac:dyDescent="0.25">
      <c r="A13" s="15">
        <v>10</v>
      </c>
      <c r="B13" s="11" t="s">
        <v>549</v>
      </c>
      <c r="C13" s="11" t="s">
        <v>550</v>
      </c>
      <c r="D13" s="182" t="s">
        <v>551</v>
      </c>
      <c r="E13" s="11" t="s">
        <v>547</v>
      </c>
      <c r="F13" s="11" t="s">
        <v>552</v>
      </c>
      <c r="G13" s="11">
        <v>311</v>
      </c>
      <c r="H13" s="11">
        <v>214</v>
      </c>
    </row>
    <row r="14" spans="1:8" ht="20.100000000000001" customHeight="1" x14ac:dyDescent="0.25">
      <c r="A14" s="15">
        <v>11</v>
      </c>
      <c r="B14" s="11" t="s">
        <v>553</v>
      </c>
      <c r="C14" s="11" t="s">
        <v>554</v>
      </c>
      <c r="D14" s="182" t="s">
        <v>551</v>
      </c>
      <c r="E14" s="11" t="s">
        <v>547</v>
      </c>
      <c r="F14" s="11" t="s">
        <v>552</v>
      </c>
      <c r="G14" s="11">
        <v>311</v>
      </c>
      <c r="H14" s="11">
        <v>180</v>
      </c>
    </row>
    <row r="15" spans="1:8" ht="20.100000000000001" customHeight="1" x14ac:dyDescent="0.25">
      <c r="A15" s="15">
        <v>12</v>
      </c>
      <c r="B15" s="11" t="s">
        <v>555</v>
      </c>
      <c r="C15" s="11" t="s">
        <v>556</v>
      </c>
      <c r="D15" s="182" t="s">
        <v>557</v>
      </c>
      <c r="E15" s="11" t="s">
        <v>535</v>
      </c>
      <c r="F15" s="11" t="s">
        <v>558</v>
      </c>
      <c r="G15" s="11">
        <v>311</v>
      </c>
      <c r="H15" s="11">
        <v>195</v>
      </c>
    </row>
    <row r="16" spans="1:8" ht="20.100000000000001" customHeight="1" x14ac:dyDescent="0.25">
      <c r="A16" s="15">
        <v>13</v>
      </c>
      <c r="B16" s="11" t="s">
        <v>559</v>
      </c>
      <c r="C16" s="11" t="s">
        <v>560</v>
      </c>
      <c r="D16" s="182" t="s">
        <v>557</v>
      </c>
      <c r="E16" s="11" t="s">
        <v>561</v>
      </c>
      <c r="F16" s="11" t="s">
        <v>557</v>
      </c>
      <c r="G16" s="11">
        <v>311</v>
      </c>
      <c r="H16" s="11">
        <v>297</v>
      </c>
    </row>
    <row r="17" spans="1:8" ht="20.100000000000001" customHeight="1" x14ac:dyDescent="0.25">
      <c r="A17" s="15">
        <v>14</v>
      </c>
      <c r="B17" s="11" t="s">
        <v>562</v>
      </c>
      <c r="C17" s="11" t="s">
        <v>563</v>
      </c>
      <c r="D17" s="182" t="s">
        <v>557</v>
      </c>
      <c r="E17" s="11" t="s">
        <v>557</v>
      </c>
      <c r="F17" s="11" t="s">
        <v>558</v>
      </c>
      <c r="G17" s="11">
        <v>311</v>
      </c>
      <c r="H17" s="11">
        <v>275</v>
      </c>
    </row>
    <row r="18" spans="1:8" ht="20.100000000000001" customHeight="1" x14ac:dyDescent="0.25">
      <c r="A18" s="15">
        <v>15</v>
      </c>
      <c r="B18" s="11" t="s">
        <v>564</v>
      </c>
      <c r="C18" s="11" t="s">
        <v>565</v>
      </c>
      <c r="D18" s="182" t="s">
        <v>557</v>
      </c>
      <c r="E18" s="11" t="s">
        <v>557</v>
      </c>
      <c r="F18" s="11" t="s">
        <v>557</v>
      </c>
      <c r="G18" s="11">
        <v>311</v>
      </c>
      <c r="H18" s="11">
        <v>203</v>
      </c>
    </row>
    <row r="19" spans="1:8" ht="20.100000000000001" customHeight="1" x14ac:dyDescent="0.25">
      <c r="A19" s="15">
        <v>16</v>
      </c>
      <c r="B19" s="11" t="s">
        <v>566</v>
      </c>
      <c r="C19" s="11" t="s">
        <v>567</v>
      </c>
      <c r="D19" s="182" t="s">
        <v>557</v>
      </c>
      <c r="E19" s="11" t="s">
        <v>568</v>
      </c>
      <c r="F19" s="11" t="s">
        <v>558</v>
      </c>
      <c r="G19" s="11">
        <v>311</v>
      </c>
      <c r="H19" s="11">
        <v>200</v>
      </c>
    </row>
    <row r="20" spans="1:8" ht="20.100000000000001" customHeight="1" x14ac:dyDescent="0.25">
      <c r="A20" s="15">
        <v>17</v>
      </c>
      <c r="B20" s="11" t="s">
        <v>569</v>
      </c>
      <c r="C20" s="11" t="s">
        <v>570</v>
      </c>
      <c r="D20" s="182" t="s">
        <v>557</v>
      </c>
      <c r="E20" s="11" t="s">
        <v>557</v>
      </c>
      <c r="F20" s="11" t="s">
        <v>558</v>
      </c>
      <c r="G20" s="11">
        <v>312</v>
      </c>
      <c r="H20" s="11">
        <v>148</v>
      </c>
    </row>
    <row r="21" spans="1:8" ht="20.100000000000001" customHeight="1" x14ac:dyDescent="0.25">
      <c r="A21" s="15">
        <v>18</v>
      </c>
      <c r="B21" s="11" t="s">
        <v>571</v>
      </c>
      <c r="C21" s="11" t="s">
        <v>572</v>
      </c>
      <c r="D21" s="182" t="s">
        <v>573</v>
      </c>
      <c r="E21" s="11" t="s">
        <v>535</v>
      </c>
      <c r="F21" s="11" t="s">
        <v>573</v>
      </c>
      <c r="G21" s="11">
        <v>311</v>
      </c>
      <c r="H21" s="11">
        <v>297</v>
      </c>
    </row>
    <row r="22" spans="1:8" ht="20.100000000000001" customHeight="1" x14ac:dyDescent="0.25">
      <c r="A22" s="15">
        <v>19</v>
      </c>
      <c r="B22" s="11" t="s">
        <v>574</v>
      </c>
      <c r="C22" s="11" t="s">
        <v>575</v>
      </c>
      <c r="D22" s="182" t="s">
        <v>576</v>
      </c>
      <c r="E22" s="11" t="s">
        <v>577</v>
      </c>
      <c r="F22" s="11" t="s">
        <v>576</v>
      </c>
      <c r="G22" s="11">
        <v>311</v>
      </c>
      <c r="H22" s="11">
        <v>288</v>
      </c>
    </row>
    <row r="23" spans="1:8" ht="20.100000000000001" customHeight="1" x14ac:dyDescent="0.25">
      <c r="A23" s="15">
        <v>20</v>
      </c>
      <c r="B23" s="11" t="s">
        <v>578</v>
      </c>
      <c r="C23" s="11" t="s">
        <v>579</v>
      </c>
      <c r="D23" s="182" t="s">
        <v>580</v>
      </c>
      <c r="E23" s="11" t="s">
        <v>580</v>
      </c>
      <c r="F23" s="11" t="s">
        <v>580</v>
      </c>
      <c r="G23" s="11">
        <v>311</v>
      </c>
      <c r="H23" s="11">
        <v>297</v>
      </c>
    </row>
    <row r="24" spans="1:8" ht="20.100000000000001" customHeight="1" x14ac:dyDescent="0.25">
      <c r="A24" s="15">
        <v>21</v>
      </c>
      <c r="B24" s="11" t="s">
        <v>581</v>
      </c>
      <c r="C24" s="11" t="s">
        <v>582</v>
      </c>
      <c r="D24" s="182" t="s">
        <v>580</v>
      </c>
      <c r="E24" s="11" t="s">
        <v>580</v>
      </c>
      <c r="F24" s="11" t="s">
        <v>580</v>
      </c>
      <c r="G24" s="11">
        <v>311</v>
      </c>
      <c r="H24" s="11">
        <v>297</v>
      </c>
    </row>
    <row r="25" spans="1:8" ht="20.100000000000001" customHeight="1" x14ac:dyDescent="0.25">
      <c r="A25" s="15">
        <v>22</v>
      </c>
      <c r="B25" s="11" t="s">
        <v>583</v>
      </c>
      <c r="C25" s="11" t="s">
        <v>584</v>
      </c>
      <c r="D25" s="182" t="s">
        <v>585</v>
      </c>
      <c r="E25" s="11" t="s">
        <v>585</v>
      </c>
      <c r="F25" s="11" t="s">
        <v>585</v>
      </c>
      <c r="G25" s="11">
        <v>311</v>
      </c>
      <c r="H25" s="11">
        <v>396</v>
      </c>
    </row>
    <row r="26" spans="1:8" ht="20.100000000000001" customHeight="1" x14ac:dyDescent="0.25">
      <c r="A26" s="15">
        <v>23</v>
      </c>
      <c r="B26" s="11" t="s">
        <v>586</v>
      </c>
      <c r="C26" s="11" t="s">
        <v>587</v>
      </c>
      <c r="D26" s="182" t="s">
        <v>588</v>
      </c>
      <c r="E26" s="11" t="s">
        <v>535</v>
      </c>
      <c r="F26" s="11" t="s">
        <v>589</v>
      </c>
      <c r="G26" s="11">
        <v>311</v>
      </c>
      <c r="H26" s="11">
        <v>330</v>
      </c>
    </row>
    <row r="27" spans="1:8" ht="20.100000000000001" customHeight="1" x14ac:dyDescent="0.25">
      <c r="A27" s="15">
        <v>24</v>
      </c>
      <c r="B27" s="11" t="s">
        <v>590</v>
      </c>
      <c r="C27" s="11" t="s">
        <v>591</v>
      </c>
      <c r="D27" s="182" t="s">
        <v>592</v>
      </c>
      <c r="E27" s="11" t="s">
        <v>592</v>
      </c>
      <c r="F27" s="11" t="s">
        <v>593</v>
      </c>
      <c r="G27" s="11">
        <v>311</v>
      </c>
      <c r="H27" s="11">
        <v>200</v>
      </c>
    </row>
    <row r="28" spans="1:8" ht="20.100000000000001" customHeight="1" x14ac:dyDescent="0.25">
      <c r="A28" s="15">
        <v>25</v>
      </c>
      <c r="B28" s="11" t="s">
        <v>594</v>
      </c>
      <c r="C28" s="11" t="s">
        <v>591</v>
      </c>
      <c r="D28" s="182" t="s">
        <v>595</v>
      </c>
      <c r="E28" s="11" t="s">
        <v>595</v>
      </c>
      <c r="F28" s="11" t="s">
        <v>593</v>
      </c>
      <c r="G28" s="11">
        <v>311</v>
      </c>
      <c r="H28" s="11">
        <v>400</v>
      </c>
    </row>
    <row r="29" spans="1:8" ht="20.100000000000001" customHeight="1" x14ac:dyDescent="0.25">
      <c r="A29" s="15">
        <v>26</v>
      </c>
      <c r="B29" s="11" t="s">
        <v>596</v>
      </c>
      <c r="C29" s="11" t="s">
        <v>597</v>
      </c>
      <c r="D29" s="182" t="s">
        <v>598</v>
      </c>
      <c r="E29" s="11" t="s">
        <v>592</v>
      </c>
      <c r="F29" s="11" t="s">
        <v>593</v>
      </c>
      <c r="G29" s="11">
        <v>311</v>
      </c>
      <c r="H29" s="11">
        <v>400</v>
      </c>
    </row>
    <row r="30" spans="1:8" ht="20.100000000000001" customHeight="1" x14ac:dyDescent="0.25">
      <c r="A30" s="15">
        <v>27</v>
      </c>
      <c r="B30" s="11" t="s">
        <v>599</v>
      </c>
      <c r="C30" s="11" t="s">
        <v>600</v>
      </c>
      <c r="D30" s="182" t="s">
        <v>598</v>
      </c>
      <c r="E30" s="11" t="s">
        <v>601</v>
      </c>
      <c r="F30" s="11" t="s">
        <v>593</v>
      </c>
      <c r="G30" s="11">
        <v>311</v>
      </c>
      <c r="H30" s="11">
        <v>198</v>
      </c>
    </row>
    <row r="31" spans="1:8" ht="20.100000000000001" customHeight="1" x14ac:dyDescent="0.25">
      <c r="A31" s="15">
        <v>28</v>
      </c>
      <c r="B31" s="11" t="s">
        <v>602</v>
      </c>
      <c r="C31" s="11" t="s">
        <v>603</v>
      </c>
      <c r="D31" s="182" t="s">
        <v>551</v>
      </c>
      <c r="E31" s="11" t="s">
        <v>547</v>
      </c>
      <c r="F31" s="11" t="s">
        <v>552</v>
      </c>
      <c r="G31" s="11">
        <v>311</v>
      </c>
      <c r="H31" s="11">
        <v>179</v>
      </c>
    </row>
    <row r="32" spans="1:8" ht="20.100000000000001" customHeight="1" x14ac:dyDescent="0.25">
      <c r="A32" s="15">
        <v>29</v>
      </c>
      <c r="B32" s="11" t="s">
        <v>604</v>
      </c>
      <c r="C32" s="11" t="s">
        <v>605</v>
      </c>
      <c r="D32" s="182" t="s">
        <v>606</v>
      </c>
      <c r="E32" s="11" t="s">
        <v>607</v>
      </c>
      <c r="F32" s="11" t="s">
        <v>608</v>
      </c>
      <c r="G32" s="11">
        <v>311</v>
      </c>
      <c r="H32" s="11">
        <v>110</v>
      </c>
    </row>
    <row r="33" spans="1:8" ht="20.100000000000001" customHeight="1" x14ac:dyDescent="0.25">
      <c r="A33" s="15">
        <v>30</v>
      </c>
      <c r="B33" s="11" t="s">
        <v>609</v>
      </c>
      <c r="C33" s="11" t="s">
        <v>610</v>
      </c>
      <c r="D33" s="182" t="s">
        <v>611</v>
      </c>
      <c r="E33" s="11" t="s">
        <v>612</v>
      </c>
      <c r="F33" s="11" t="s">
        <v>613</v>
      </c>
      <c r="G33" s="11">
        <v>311</v>
      </c>
      <c r="H33" s="11">
        <v>100</v>
      </c>
    </row>
    <row r="34" spans="1:8" ht="20.100000000000001" customHeight="1" x14ac:dyDescent="0.25">
      <c r="A34" s="15">
        <v>31</v>
      </c>
      <c r="B34" s="11" t="s">
        <v>614</v>
      </c>
      <c r="C34" s="11" t="s">
        <v>615</v>
      </c>
      <c r="D34" s="182" t="s">
        <v>616</v>
      </c>
      <c r="E34" s="11" t="s">
        <v>617</v>
      </c>
      <c r="F34" s="11" t="s">
        <v>618</v>
      </c>
      <c r="G34" s="11">
        <v>311</v>
      </c>
      <c r="H34" s="11">
        <v>100</v>
      </c>
    </row>
    <row r="35" spans="1:8" ht="20.100000000000001" customHeight="1" x14ac:dyDescent="0.25">
      <c r="A35" s="15">
        <v>32</v>
      </c>
      <c r="B35" s="11" t="s">
        <v>619</v>
      </c>
      <c r="C35" s="11" t="s">
        <v>620</v>
      </c>
      <c r="D35" s="182" t="s">
        <v>621</v>
      </c>
      <c r="E35" s="11" t="s">
        <v>535</v>
      </c>
      <c r="F35" s="11" t="s">
        <v>621</v>
      </c>
      <c r="G35" s="11">
        <v>311</v>
      </c>
      <c r="H35" s="11">
        <v>297</v>
      </c>
    </row>
    <row r="36" spans="1:8" ht="20.100000000000001" customHeight="1" x14ac:dyDescent="0.25">
      <c r="A36" s="15">
        <v>33</v>
      </c>
      <c r="B36" s="11" t="s">
        <v>622</v>
      </c>
      <c r="C36" s="11" t="s">
        <v>623</v>
      </c>
      <c r="D36" s="182" t="s">
        <v>624</v>
      </c>
      <c r="E36" s="11" t="s">
        <v>624</v>
      </c>
      <c r="F36" s="11" t="s">
        <v>624</v>
      </c>
      <c r="G36" s="11">
        <v>311</v>
      </c>
      <c r="H36" s="11">
        <v>297</v>
      </c>
    </row>
    <row r="37" spans="1:8" ht="20.100000000000001" customHeight="1" x14ac:dyDescent="0.25">
      <c r="A37" s="15">
        <v>34</v>
      </c>
      <c r="B37" s="11" t="s">
        <v>625</v>
      </c>
      <c r="C37" s="11" t="s">
        <v>626</v>
      </c>
      <c r="D37" s="182"/>
      <c r="E37" s="11" t="s">
        <v>621</v>
      </c>
      <c r="F37" s="11" t="s">
        <v>621</v>
      </c>
      <c r="G37" s="11">
        <v>311</v>
      </c>
      <c r="H37" s="11">
        <v>149</v>
      </c>
    </row>
    <row r="38" spans="1:8" ht="20.100000000000001" customHeight="1" x14ac:dyDescent="0.25">
      <c r="A38" s="15">
        <v>35</v>
      </c>
      <c r="B38" s="11" t="s">
        <v>627</v>
      </c>
      <c r="C38" s="11" t="s">
        <v>628</v>
      </c>
      <c r="D38" s="182" t="s">
        <v>629</v>
      </c>
      <c r="E38" s="11" t="s">
        <v>630</v>
      </c>
      <c r="F38" s="11"/>
      <c r="G38" s="11">
        <v>313</v>
      </c>
      <c r="H38" s="11">
        <v>396</v>
      </c>
    </row>
    <row r="39" spans="1:8" ht="20.100000000000001" customHeight="1" x14ac:dyDescent="0.25">
      <c r="A39" s="15">
        <v>36</v>
      </c>
      <c r="B39" s="11" t="s">
        <v>631</v>
      </c>
      <c r="C39" s="11" t="s">
        <v>632</v>
      </c>
      <c r="D39" s="182" t="s">
        <v>633</v>
      </c>
      <c r="E39" s="11" t="s">
        <v>634</v>
      </c>
      <c r="F39" s="11" t="s">
        <v>635</v>
      </c>
      <c r="G39" s="11">
        <v>313</v>
      </c>
      <c r="H39" s="11">
        <v>525</v>
      </c>
    </row>
    <row r="40" spans="1:8" ht="20.100000000000001" customHeight="1" x14ac:dyDescent="0.25">
      <c r="A40" s="15">
        <v>37</v>
      </c>
      <c r="B40" s="11" t="s">
        <v>636</v>
      </c>
      <c r="C40" s="11" t="s">
        <v>637</v>
      </c>
      <c r="D40" s="182"/>
      <c r="E40" s="11" t="s">
        <v>621</v>
      </c>
      <c r="F40" s="11" t="s">
        <v>638</v>
      </c>
      <c r="G40" s="11">
        <v>311</v>
      </c>
      <c r="H40" s="11">
        <v>297</v>
      </c>
    </row>
    <row r="41" spans="1:8" ht="20.100000000000001" customHeight="1" x14ac:dyDescent="0.25">
      <c r="A41" s="15">
        <v>38</v>
      </c>
      <c r="B41" s="11" t="s">
        <v>639</v>
      </c>
      <c r="C41" s="11" t="s">
        <v>640</v>
      </c>
      <c r="D41" s="182"/>
      <c r="E41" s="11" t="s">
        <v>641</v>
      </c>
      <c r="F41" s="11" t="s">
        <v>642</v>
      </c>
      <c r="G41" s="11">
        <v>211</v>
      </c>
      <c r="H41" s="11">
        <v>180</v>
      </c>
    </row>
    <row r="42" spans="1:8" ht="20.100000000000001" customHeight="1" x14ac:dyDescent="0.25">
      <c r="A42" s="15">
        <v>39</v>
      </c>
      <c r="B42" s="11" t="s">
        <v>643</v>
      </c>
      <c r="C42" s="11" t="s">
        <v>644</v>
      </c>
      <c r="D42" s="182" t="s">
        <v>645</v>
      </c>
      <c r="E42" s="11" t="s">
        <v>645</v>
      </c>
      <c r="F42" s="11" t="s">
        <v>646</v>
      </c>
      <c r="G42" s="11">
        <v>211</v>
      </c>
      <c r="H42" s="11">
        <v>120</v>
      </c>
    </row>
    <row r="43" spans="1:8" ht="20.100000000000001" customHeight="1" x14ac:dyDescent="0.25">
      <c r="A43" s="15">
        <v>40</v>
      </c>
      <c r="B43" s="11" t="s">
        <v>647</v>
      </c>
      <c r="C43" s="11" t="s">
        <v>648</v>
      </c>
      <c r="D43" s="182" t="s">
        <v>649</v>
      </c>
      <c r="E43" s="11" t="s">
        <v>650</v>
      </c>
      <c r="F43" s="11" t="s">
        <v>649</v>
      </c>
      <c r="G43" s="11">
        <v>311</v>
      </c>
      <c r="H43" s="11">
        <v>396</v>
      </c>
    </row>
    <row r="44" spans="1:8" ht="20.100000000000001" customHeight="1" x14ac:dyDescent="0.25">
      <c r="A44" s="15">
        <v>41</v>
      </c>
      <c r="B44" s="11" t="s">
        <v>651</v>
      </c>
      <c r="C44" s="11" t="s">
        <v>652</v>
      </c>
      <c r="D44" s="182" t="s">
        <v>653</v>
      </c>
      <c r="E44" s="11" t="s">
        <v>654</v>
      </c>
      <c r="F44" s="11" t="s">
        <v>655</v>
      </c>
      <c r="G44" s="11">
        <v>311</v>
      </c>
      <c r="H44" s="11">
        <v>297</v>
      </c>
    </row>
    <row r="45" spans="1:8" ht="20.100000000000001" customHeight="1" x14ac:dyDescent="0.25">
      <c r="A45" s="15">
        <v>42</v>
      </c>
      <c r="B45" s="11" t="s">
        <v>656</v>
      </c>
      <c r="C45" s="11" t="s">
        <v>657</v>
      </c>
      <c r="D45" s="183">
        <v>343352</v>
      </c>
      <c r="E45" s="11" t="s">
        <v>654</v>
      </c>
      <c r="F45" s="11" t="s">
        <v>658</v>
      </c>
      <c r="G45" s="11">
        <v>311</v>
      </c>
      <c r="H45" s="11">
        <v>297</v>
      </c>
    </row>
    <row r="46" spans="1:8" ht="20.100000000000001" customHeight="1" x14ac:dyDescent="0.25">
      <c r="A46" s="15">
        <v>43</v>
      </c>
      <c r="B46" s="11" t="s">
        <v>659</v>
      </c>
      <c r="C46" s="11" t="s">
        <v>660</v>
      </c>
      <c r="D46" s="182">
        <v>348</v>
      </c>
      <c r="E46" s="11" t="s">
        <v>654</v>
      </c>
      <c r="F46" s="11" t="s">
        <v>658</v>
      </c>
      <c r="G46" s="11">
        <v>311</v>
      </c>
      <c r="H46" s="11">
        <v>297</v>
      </c>
    </row>
    <row r="47" spans="1:8" ht="20.100000000000001" customHeight="1" x14ac:dyDescent="0.25">
      <c r="A47" s="15">
        <v>44</v>
      </c>
      <c r="B47" s="11" t="s">
        <v>661</v>
      </c>
      <c r="C47" s="11" t="s">
        <v>662</v>
      </c>
      <c r="D47" s="182" t="s">
        <v>663</v>
      </c>
      <c r="E47" s="11" t="s">
        <v>663</v>
      </c>
      <c r="F47" s="11" t="s">
        <v>663</v>
      </c>
      <c r="G47" s="11">
        <v>311</v>
      </c>
      <c r="H47" s="11">
        <v>297</v>
      </c>
    </row>
    <row r="48" spans="1:8" ht="20.100000000000001" customHeight="1" x14ac:dyDescent="0.25">
      <c r="A48" s="15">
        <v>45</v>
      </c>
      <c r="B48" s="11" t="s">
        <v>664</v>
      </c>
      <c r="C48" s="11" t="s">
        <v>665</v>
      </c>
      <c r="D48" s="182" t="s">
        <v>666</v>
      </c>
      <c r="E48" s="11" t="s">
        <v>667</v>
      </c>
      <c r="F48" s="11" t="s">
        <v>666</v>
      </c>
      <c r="G48" s="11">
        <v>311</v>
      </c>
      <c r="H48" s="11">
        <v>198</v>
      </c>
    </row>
    <row r="49" spans="1:8" ht="20.100000000000001" customHeight="1" x14ac:dyDescent="0.25">
      <c r="A49" s="15">
        <v>46</v>
      </c>
      <c r="B49" s="11" t="s">
        <v>668</v>
      </c>
      <c r="C49" s="11" t="s">
        <v>669</v>
      </c>
      <c r="D49" s="182" t="s">
        <v>670</v>
      </c>
      <c r="E49" s="11" t="s">
        <v>670</v>
      </c>
      <c r="F49" s="11" t="s">
        <v>671</v>
      </c>
      <c r="G49" s="11">
        <v>311</v>
      </c>
      <c r="H49" s="11">
        <v>845</v>
      </c>
    </row>
    <row r="50" spans="1:8" ht="20.100000000000001" customHeight="1" x14ac:dyDescent="0.25">
      <c r="A50" s="15">
        <v>47</v>
      </c>
      <c r="B50" s="11" t="s">
        <v>672</v>
      </c>
      <c r="C50" s="11" t="s">
        <v>673</v>
      </c>
      <c r="D50" s="182" t="s">
        <v>674</v>
      </c>
      <c r="E50" s="11" t="s">
        <v>535</v>
      </c>
      <c r="F50" s="11" t="s">
        <v>675</v>
      </c>
      <c r="G50" s="11">
        <v>311</v>
      </c>
      <c r="H50" s="11">
        <v>189</v>
      </c>
    </row>
    <row r="51" spans="1:8" ht="20.100000000000001" customHeight="1" x14ac:dyDescent="0.25">
      <c r="A51" s="15">
        <v>48</v>
      </c>
      <c r="B51" s="11" t="s">
        <v>676</v>
      </c>
      <c r="C51" s="11" t="s">
        <v>677</v>
      </c>
      <c r="D51" s="182" t="s">
        <v>678</v>
      </c>
      <c r="E51" s="11" t="s">
        <v>535</v>
      </c>
      <c r="F51" s="11" t="s">
        <v>678</v>
      </c>
      <c r="G51" s="11">
        <v>311</v>
      </c>
      <c r="H51" s="11">
        <v>198</v>
      </c>
    </row>
    <row r="52" spans="1:8" ht="20.100000000000001" customHeight="1" x14ac:dyDescent="0.25">
      <c r="A52" s="15">
        <v>49</v>
      </c>
      <c r="B52" s="11" t="s">
        <v>679</v>
      </c>
      <c r="C52" s="11" t="s">
        <v>680</v>
      </c>
      <c r="D52" s="182" t="s">
        <v>678</v>
      </c>
      <c r="E52" s="11" t="s">
        <v>535</v>
      </c>
      <c r="F52" s="11" t="s">
        <v>681</v>
      </c>
      <c r="G52" s="11">
        <v>311</v>
      </c>
      <c r="H52" s="11">
        <v>203</v>
      </c>
    </row>
    <row r="53" spans="1:8" ht="20.100000000000001" customHeight="1" x14ac:dyDescent="0.25">
      <c r="A53" s="15">
        <v>50</v>
      </c>
      <c r="B53" s="11" t="s">
        <v>682</v>
      </c>
      <c r="C53" s="11" t="s">
        <v>683</v>
      </c>
      <c r="D53" s="182" t="s">
        <v>678</v>
      </c>
      <c r="E53" s="11" t="s">
        <v>535</v>
      </c>
      <c r="F53" s="11" t="s">
        <v>681</v>
      </c>
      <c r="G53" s="11">
        <v>311</v>
      </c>
      <c r="H53" s="11">
        <v>185</v>
      </c>
    </row>
    <row r="54" spans="1:8" ht="20.100000000000001" customHeight="1" x14ac:dyDescent="0.25">
      <c r="A54" s="15">
        <v>51</v>
      </c>
      <c r="B54" s="11" t="s">
        <v>684</v>
      </c>
      <c r="C54" s="11" t="s">
        <v>685</v>
      </c>
      <c r="D54" s="182" t="s">
        <v>686</v>
      </c>
      <c r="E54" s="11" t="s">
        <v>535</v>
      </c>
      <c r="F54" s="11" t="s">
        <v>687</v>
      </c>
      <c r="G54" s="11">
        <v>311</v>
      </c>
      <c r="H54" s="11">
        <v>180</v>
      </c>
    </row>
    <row r="55" spans="1:8" ht="20.100000000000001" customHeight="1" x14ac:dyDescent="0.25">
      <c r="A55" s="15">
        <v>52</v>
      </c>
      <c r="B55" s="11" t="s">
        <v>688</v>
      </c>
      <c r="C55" s="11" t="s">
        <v>689</v>
      </c>
      <c r="D55" s="182" t="s">
        <v>690</v>
      </c>
      <c r="E55" s="11" t="s">
        <v>690</v>
      </c>
      <c r="F55" s="11" t="s">
        <v>671</v>
      </c>
      <c r="G55" s="11">
        <v>311</v>
      </c>
      <c r="H55" s="11">
        <v>297</v>
      </c>
    </row>
    <row r="56" spans="1:8" ht="20.100000000000001" customHeight="1" x14ac:dyDescent="0.25">
      <c r="A56" s="15">
        <v>53</v>
      </c>
      <c r="B56" s="11" t="s">
        <v>691</v>
      </c>
      <c r="C56" s="11" t="s">
        <v>692</v>
      </c>
      <c r="D56" s="182" t="s">
        <v>693</v>
      </c>
      <c r="E56" s="11" t="s">
        <v>547</v>
      </c>
      <c r="F56" s="11" t="s">
        <v>693</v>
      </c>
      <c r="G56" s="11">
        <v>311</v>
      </c>
      <c r="H56" s="11">
        <v>165</v>
      </c>
    </row>
    <row r="57" spans="1:8" ht="20.100000000000001" customHeight="1" x14ac:dyDescent="0.25">
      <c r="A57" s="15">
        <v>54</v>
      </c>
      <c r="B57" s="11" t="s">
        <v>694</v>
      </c>
      <c r="C57" s="11" t="s">
        <v>695</v>
      </c>
      <c r="D57" s="182" t="s">
        <v>693</v>
      </c>
      <c r="E57" s="11" t="s">
        <v>547</v>
      </c>
      <c r="F57" s="11" t="s">
        <v>693</v>
      </c>
      <c r="G57" s="11">
        <v>311</v>
      </c>
      <c r="H57" s="11">
        <v>198</v>
      </c>
    </row>
    <row r="58" spans="1:8" ht="20.100000000000001" customHeight="1" x14ac:dyDescent="0.25">
      <c r="A58" s="15">
        <v>55</v>
      </c>
      <c r="B58" s="11" t="s">
        <v>696</v>
      </c>
      <c r="C58" s="11" t="s">
        <v>697</v>
      </c>
      <c r="D58" s="182" t="s">
        <v>693</v>
      </c>
      <c r="E58" s="11" t="s">
        <v>547</v>
      </c>
      <c r="F58" s="11" t="s">
        <v>698</v>
      </c>
      <c r="G58" s="11">
        <v>311</v>
      </c>
      <c r="H58" s="11">
        <v>174</v>
      </c>
    </row>
    <row r="59" spans="1:8" ht="20.100000000000001" customHeight="1" x14ac:dyDescent="0.25">
      <c r="A59" s="15">
        <v>56</v>
      </c>
      <c r="B59" s="11" t="s">
        <v>699</v>
      </c>
      <c r="C59" s="11" t="s">
        <v>700</v>
      </c>
      <c r="D59" s="182" t="s">
        <v>701</v>
      </c>
      <c r="E59" s="11" t="s">
        <v>701</v>
      </c>
      <c r="F59" s="11" t="s">
        <v>701</v>
      </c>
      <c r="G59" s="11">
        <v>311</v>
      </c>
      <c r="H59" s="11">
        <v>198</v>
      </c>
    </row>
    <row r="60" spans="1:8" ht="20.100000000000001" customHeight="1" x14ac:dyDescent="0.25">
      <c r="A60" s="15">
        <v>57</v>
      </c>
      <c r="B60" s="11" t="s">
        <v>702</v>
      </c>
      <c r="C60" s="11" t="s">
        <v>703</v>
      </c>
      <c r="D60" s="182" t="s">
        <v>704</v>
      </c>
      <c r="E60" s="11" t="s">
        <v>704</v>
      </c>
      <c r="F60" s="11" t="s">
        <v>705</v>
      </c>
      <c r="G60" s="11">
        <v>311</v>
      </c>
      <c r="H60" s="11">
        <v>139</v>
      </c>
    </row>
  </sheetData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329B3-F202-43F4-8A2A-10074444A950}">
  <dimension ref="A1:S14"/>
  <sheetViews>
    <sheetView workbookViewId="0">
      <selection activeCell="A3" sqref="A3:A4"/>
    </sheetView>
  </sheetViews>
  <sheetFormatPr defaultRowHeight="15.75" x14ac:dyDescent="0.25"/>
  <cols>
    <col min="1" max="1" width="5.7109375" style="1" customWidth="1"/>
    <col min="2" max="2" width="11.7109375" style="1" customWidth="1"/>
    <col min="3" max="3" width="5.140625" style="1" customWidth="1"/>
    <col min="4" max="4" width="7.42578125" style="1" customWidth="1"/>
    <col min="5" max="5" width="7.5703125" style="1" customWidth="1"/>
    <col min="6" max="6" width="7.28515625" style="1" customWidth="1"/>
    <col min="7" max="7" width="8.140625" style="1" customWidth="1"/>
    <col min="8" max="8" width="7" style="1" customWidth="1"/>
    <col min="9" max="9" width="7.140625" style="1" customWidth="1"/>
    <col min="10" max="10" width="6.5703125" style="1" customWidth="1"/>
    <col min="11" max="11" width="8.140625" style="1" customWidth="1"/>
    <col min="12" max="12" width="8.5703125" style="1" bestFit="1" customWidth="1"/>
    <col min="13" max="13" width="7.85546875" style="1" customWidth="1"/>
    <col min="14" max="14" width="8.5703125" style="1" bestFit="1" customWidth="1"/>
    <col min="15" max="15" width="7.28515625" style="1" customWidth="1"/>
    <col min="16" max="16" width="7.140625" style="1" customWidth="1"/>
    <col min="17" max="17" width="6.85546875" style="1" customWidth="1"/>
    <col min="18" max="18" width="7.140625" style="1" customWidth="1"/>
    <col min="19" max="19" width="7.28515625" style="1" customWidth="1"/>
    <col min="20" max="16384" width="9.140625" style="1"/>
  </cols>
  <sheetData>
    <row r="1" spans="1:19" ht="30.75" customHeight="1" x14ac:dyDescent="0.25">
      <c r="A1" s="398" t="s">
        <v>0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8"/>
      <c r="Q1" s="398"/>
      <c r="R1" s="398"/>
      <c r="S1" s="162"/>
    </row>
    <row r="2" spans="1:19" ht="28.5" customHeight="1" x14ac:dyDescent="0.25">
      <c r="A2" s="399" t="s">
        <v>713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400"/>
      <c r="S2" s="162"/>
    </row>
    <row r="3" spans="1:19" x14ac:dyDescent="0.25">
      <c r="A3" s="401" t="s">
        <v>1</v>
      </c>
      <c r="B3" s="401" t="s">
        <v>2</v>
      </c>
      <c r="C3" s="402" t="s">
        <v>706</v>
      </c>
      <c r="D3" s="395" t="s">
        <v>3</v>
      </c>
      <c r="E3" s="396"/>
      <c r="F3" s="395" t="s">
        <v>4</v>
      </c>
      <c r="G3" s="396"/>
      <c r="H3" s="395" t="s">
        <v>5</v>
      </c>
      <c r="I3" s="396"/>
      <c r="J3" s="395" t="s">
        <v>14</v>
      </c>
      <c r="K3" s="396"/>
      <c r="L3" s="395" t="s">
        <v>15</v>
      </c>
      <c r="M3" s="396"/>
      <c r="N3" s="395" t="s">
        <v>16</v>
      </c>
      <c r="O3" s="396"/>
      <c r="P3" s="395" t="s">
        <v>21</v>
      </c>
      <c r="Q3" s="396"/>
      <c r="R3" s="397" t="s">
        <v>22</v>
      </c>
      <c r="S3" s="397"/>
    </row>
    <row r="4" spans="1:19" ht="75" customHeight="1" x14ac:dyDescent="0.25">
      <c r="A4" s="401"/>
      <c r="B4" s="401"/>
      <c r="C4" s="401"/>
      <c r="D4" s="185" t="s">
        <v>19</v>
      </c>
      <c r="E4" s="185" t="s">
        <v>24</v>
      </c>
      <c r="F4" s="185" t="s">
        <v>19</v>
      </c>
      <c r="G4" s="185" t="s">
        <v>24</v>
      </c>
      <c r="H4" s="185" t="s">
        <v>19</v>
      </c>
      <c r="I4" s="185" t="s">
        <v>24</v>
      </c>
      <c r="J4" s="185" t="s">
        <v>19</v>
      </c>
      <c r="K4" s="185" t="s">
        <v>24</v>
      </c>
      <c r="L4" s="185" t="s">
        <v>19</v>
      </c>
      <c r="M4" s="185" t="s">
        <v>24</v>
      </c>
      <c r="N4" s="185" t="s">
        <v>19</v>
      </c>
      <c r="O4" s="185" t="s">
        <v>24</v>
      </c>
      <c r="P4" s="185" t="s">
        <v>19</v>
      </c>
      <c r="Q4" s="185" t="s">
        <v>24</v>
      </c>
      <c r="R4" s="185" t="s">
        <v>19</v>
      </c>
      <c r="S4" s="185" t="s">
        <v>24</v>
      </c>
    </row>
    <row r="5" spans="1:19" ht="24.95" customHeight="1" x14ac:dyDescent="0.25">
      <c r="A5" s="163">
        <v>1</v>
      </c>
      <c r="B5" s="164" t="s">
        <v>6</v>
      </c>
      <c r="C5" s="164" t="s">
        <v>18</v>
      </c>
      <c r="D5" s="165">
        <v>134028</v>
      </c>
      <c r="E5" s="165">
        <v>186593</v>
      </c>
      <c r="F5" s="165">
        <v>138028</v>
      </c>
      <c r="G5" s="165">
        <v>180149</v>
      </c>
      <c r="H5" s="165">
        <v>142528</v>
      </c>
      <c r="I5" s="165">
        <v>183173</v>
      </c>
      <c r="J5" s="164">
        <v>147999</v>
      </c>
      <c r="K5" s="164">
        <v>186495</v>
      </c>
      <c r="L5" s="164">
        <v>151827</v>
      </c>
      <c r="M5" s="164">
        <v>207714</v>
      </c>
      <c r="N5" s="165">
        <v>160867</v>
      </c>
      <c r="O5" s="165">
        <v>218194</v>
      </c>
      <c r="P5" s="164">
        <v>162797</v>
      </c>
      <c r="Q5" s="164">
        <v>228033</v>
      </c>
      <c r="R5" s="164">
        <v>165400</v>
      </c>
      <c r="S5" s="164">
        <f>228033+5206</f>
        <v>233239</v>
      </c>
    </row>
    <row r="6" spans="1:19" ht="24.95" customHeight="1" x14ac:dyDescent="0.25">
      <c r="A6" s="163">
        <v>2</v>
      </c>
      <c r="B6" s="164" t="s">
        <v>7</v>
      </c>
      <c r="C6" s="164" t="s">
        <v>18</v>
      </c>
      <c r="D6" s="165">
        <v>9734</v>
      </c>
      <c r="E6" s="165">
        <v>12728</v>
      </c>
      <c r="F6" s="165">
        <v>10266</v>
      </c>
      <c r="G6" s="165">
        <v>13870</v>
      </c>
      <c r="H6" s="165">
        <v>10673</v>
      </c>
      <c r="I6" s="165">
        <v>15063</v>
      </c>
      <c r="J6" s="164">
        <v>11658</v>
      </c>
      <c r="K6" s="164">
        <v>16425</v>
      </c>
      <c r="L6" s="164">
        <v>12283</v>
      </c>
      <c r="M6" s="164">
        <v>18125</v>
      </c>
      <c r="N6" s="165">
        <v>13409</v>
      </c>
      <c r="O6" s="165">
        <v>22164</v>
      </c>
      <c r="P6" s="164">
        <v>14169</v>
      </c>
      <c r="Q6" s="164">
        <v>48250</v>
      </c>
      <c r="R6" s="164">
        <v>14519</v>
      </c>
      <c r="S6" s="164">
        <f>48250+1050</f>
        <v>49300</v>
      </c>
    </row>
    <row r="7" spans="1:19" ht="24.95" customHeight="1" x14ac:dyDescent="0.25">
      <c r="A7" s="163">
        <v>3</v>
      </c>
      <c r="B7" s="164" t="s">
        <v>8</v>
      </c>
      <c r="C7" s="164" t="s">
        <v>18</v>
      </c>
      <c r="D7" s="165">
        <v>1302</v>
      </c>
      <c r="E7" s="165">
        <v>21869</v>
      </c>
      <c r="F7" s="165">
        <v>1325</v>
      </c>
      <c r="G7" s="165">
        <v>21701</v>
      </c>
      <c r="H7" s="165">
        <v>1335</v>
      </c>
      <c r="I7" s="165">
        <v>24695</v>
      </c>
      <c r="J7" s="164">
        <v>1349</v>
      </c>
      <c r="K7" s="164">
        <v>25684</v>
      </c>
      <c r="L7" s="164">
        <v>1384</v>
      </c>
      <c r="M7" s="164">
        <v>29772</v>
      </c>
      <c r="N7" s="165">
        <v>1341</v>
      </c>
      <c r="O7" s="165">
        <v>36618</v>
      </c>
      <c r="P7" s="164">
        <v>1155</v>
      </c>
      <c r="Q7" s="164">
        <v>33376</v>
      </c>
      <c r="R7" s="164">
        <v>1218</v>
      </c>
      <c r="S7" s="164">
        <v>34951</v>
      </c>
    </row>
    <row r="8" spans="1:19" ht="24.95" customHeight="1" x14ac:dyDescent="0.25">
      <c r="A8" s="163">
        <v>4</v>
      </c>
      <c r="B8" s="164" t="s">
        <v>9</v>
      </c>
      <c r="C8" s="164" t="s">
        <v>18</v>
      </c>
      <c r="D8" s="165">
        <v>5835</v>
      </c>
      <c r="E8" s="165">
        <v>28305</v>
      </c>
      <c r="F8" s="165">
        <v>5757</v>
      </c>
      <c r="G8" s="165">
        <v>28280</v>
      </c>
      <c r="H8" s="165">
        <v>5758</v>
      </c>
      <c r="I8" s="165">
        <v>27868</v>
      </c>
      <c r="J8" s="164">
        <v>5687</v>
      </c>
      <c r="K8" s="164">
        <v>27872</v>
      </c>
      <c r="L8" s="164">
        <v>5704</v>
      </c>
      <c r="M8" s="164">
        <v>27627</v>
      </c>
      <c r="N8" s="165">
        <v>5752</v>
      </c>
      <c r="O8" s="165">
        <v>32704</v>
      </c>
      <c r="P8" s="164">
        <v>5744</v>
      </c>
      <c r="Q8" s="164">
        <v>33376</v>
      </c>
      <c r="R8" s="164">
        <v>5775</v>
      </c>
      <c r="S8" s="164">
        <f>33376+155</f>
        <v>33531</v>
      </c>
    </row>
    <row r="9" spans="1:19" ht="24.95" customHeight="1" x14ac:dyDescent="0.25">
      <c r="A9" s="163">
        <v>5</v>
      </c>
      <c r="B9" s="164" t="s">
        <v>10</v>
      </c>
      <c r="C9" s="164" t="s">
        <v>18</v>
      </c>
      <c r="D9" s="165">
        <v>63422</v>
      </c>
      <c r="E9" s="165">
        <f>D9*5</f>
        <v>317110</v>
      </c>
      <c r="F9" s="165">
        <v>64533</v>
      </c>
      <c r="G9" s="165">
        <f>F9*5</f>
        <v>322665</v>
      </c>
      <c r="H9" s="165">
        <v>65888</v>
      </c>
      <c r="I9" s="165">
        <f>H9*5</f>
        <v>329440</v>
      </c>
      <c r="J9" s="164">
        <v>66176</v>
      </c>
      <c r="K9" s="164">
        <f>J9*5</f>
        <v>330880</v>
      </c>
      <c r="L9" s="164">
        <v>69293</v>
      </c>
      <c r="M9" s="164">
        <f>L9*5</f>
        <v>346465</v>
      </c>
      <c r="N9" s="165">
        <v>71543</v>
      </c>
      <c r="O9" s="165">
        <f>N9*5</f>
        <v>357715</v>
      </c>
      <c r="P9" s="164">
        <v>73287</v>
      </c>
      <c r="Q9" s="164">
        <f>P9*5</f>
        <v>366435</v>
      </c>
      <c r="R9" s="164">
        <v>76287</v>
      </c>
      <c r="S9" s="164">
        <f>R9*5</f>
        <v>381435</v>
      </c>
    </row>
    <row r="10" spans="1:19" ht="24.95" customHeight="1" x14ac:dyDescent="0.25">
      <c r="A10" s="163">
        <v>6</v>
      </c>
      <c r="B10" s="164" t="s">
        <v>11</v>
      </c>
      <c r="C10" s="164" t="s">
        <v>18</v>
      </c>
      <c r="D10" s="165">
        <v>459</v>
      </c>
      <c r="E10" s="165">
        <v>2126</v>
      </c>
      <c r="F10" s="165">
        <v>546</v>
      </c>
      <c r="G10" s="165">
        <v>2599</v>
      </c>
      <c r="H10" s="165">
        <v>564</v>
      </c>
      <c r="I10" s="165">
        <v>2723</v>
      </c>
      <c r="J10" s="164">
        <v>571</v>
      </c>
      <c r="K10" s="164">
        <v>2811</v>
      </c>
      <c r="L10" s="164">
        <v>598</v>
      </c>
      <c r="M10" s="164">
        <v>2836</v>
      </c>
      <c r="N10" s="165">
        <v>1315</v>
      </c>
      <c r="O10" s="165">
        <v>4428</v>
      </c>
      <c r="P10" s="164">
        <v>1328</v>
      </c>
      <c r="Q10" s="164">
        <v>4839</v>
      </c>
      <c r="R10" s="164">
        <v>1328</v>
      </c>
      <c r="S10" s="164">
        <v>4839</v>
      </c>
    </row>
    <row r="11" spans="1:19" ht="24.95" customHeight="1" x14ac:dyDescent="0.25">
      <c r="A11" s="163">
        <v>7</v>
      </c>
      <c r="B11" s="164" t="s">
        <v>12</v>
      </c>
      <c r="C11" s="164" t="s">
        <v>18</v>
      </c>
      <c r="D11" s="165">
        <v>948</v>
      </c>
      <c r="E11" s="165">
        <v>4518</v>
      </c>
      <c r="F11" s="165">
        <v>1211</v>
      </c>
      <c r="G11" s="165">
        <v>5046</v>
      </c>
      <c r="H11" s="165">
        <v>1228</v>
      </c>
      <c r="I11" s="165">
        <v>5286</v>
      </c>
      <c r="J11" s="164">
        <v>1245</v>
      </c>
      <c r="K11" s="164">
        <v>5486</v>
      </c>
      <c r="L11" s="164">
        <v>1281</v>
      </c>
      <c r="M11" s="164">
        <v>5505</v>
      </c>
      <c r="N11" s="165">
        <v>1762</v>
      </c>
      <c r="O11" s="165">
        <v>6116</v>
      </c>
      <c r="P11" s="164">
        <v>1784</v>
      </c>
      <c r="Q11" s="164">
        <v>6682</v>
      </c>
      <c r="R11" s="164">
        <v>1800</v>
      </c>
      <c r="S11" s="164">
        <v>6714</v>
      </c>
    </row>
    <row r="12" spans="1:19" ht="24.95" customHeight="1" x14ac:dyDescent="0.25">
      <c r="A12" s="163">
        <v>8</v>
      </c>
      <c r="B12" s="164" t="s">
        <v>13</v>
      </c>
      <c r="C12" s="164" t="s">
        <v>18</v>
      </c>
      <c r="D12" s="165">
        <v>844</v>
      </c>
      <c r="E12" s="165">
        <v>1037</v>
      </c>
      <c r="F12" s="165">
        <v>865</v>
      </c>
      <c r="G12" s="165">
        <v>1095</v>
      </c>
      <c r="H12" s="165">
        <v>902</v>
      </c>
      <c r="I12" s="165">
        <v>1170</v>
      </c>
      <c r="J12" s="164">
        <v>934</v>
      </c>
      <c r="K12" s="164">
        <v>1269</v>
      </c>
      <c r="L12" s="164">
        <v>953</v>
      </c>
      <c r="M12" s="164">
        <v>1409</v>
      </c>
      <c r="N12" s="165">
        <v>970</v>
      </c>
      <c r="O12" s="165">
        <v>1524</v>
      </c>
      <c r="P12" s="164">
        <v>974</v>
      </c>
      <c r="Q12" s="164">
        <v>1703</v>
      </c>
      <c r="R12" s="164">
        <v>974</v>
      </c>
      <c r="S12" s="164">
        <v>1703</v>
      </c>
    </row>
    <row r="13" spans="1:19" ht="24.95" customHeight="1" x14ac:dyDescent="0.25">
      <c r="A13" s="166">
        <v>9</v>
      </c>
      <c r="B13" s="167" t="s">
        <v>23</v>
      </c>
      <c r="C13" s="164" t="s">
        <v>494</v>
      </c>
      <c r="D13" s="164"/>
      <c r="E13" s="164"/>
      <c r="F13" s="164"/>
      <c r="G13" s="164"/>
      <c r="H13" s="164"/>
      <c r="I13" s="164"/>
      <c r="J13" s="164"/>
      <c r="K13" s="164"/>
      <c r="L13" s="164"/>
      <c r="M13" s="168"/>
      <c r="N13" s="164"/>
      <c r="O13" s="168"/>
      <c r="P13" s="164">
        <v>48</v>
      </c>
      <c r="Q13" s="164">
        <v>13201</v>
      </c>
      <c r="R13" s="164">
        <v>57</v>
      </c>
      <c r="S13" s="164">
        <v>14940</v>
      </c>
    </row>
    <row r="14" spans="1:19" ht="24.95" customHeight="1" x14ac:dyDescent="0.25">
      <c r="A14" s="164"/>
      <c r="B14" s="164" t="s">
        <v>20</v>
      </c>
      <c r="C14" s="164"/>
      <c r="D14" s="164">
        <f>SUM(D5:D13)</f>
        <v>216572</v>
      </c>
      <c r="E14" s="164">
        <f t="shared" ref="E14:S14" si="0">SUM(E5:E13)</f>
        <v>574286</v>
      </c>
      <c r="F14" s="164">
        <f t="shared" si="0"/>
        <v>222531</v>
      </c>
      <c r="G14" s="164">
        <f t="shared" si="0"/>
        <v>575405</v>
      </c>
      <c r="H14" s="164">
        <f t="shared" si="0"/>
        <v>228876</v>
      </c>
      <c r="I14" s="164">
        <f t="shared" si="0"/>
        <v>589418</v>
      </c>
      <c r="J14" s="164">
        <f t="shared" si="0"/>
        <v>235619</v>
      </c>
      <c r="K14" s="164">
        <f t="shared" si="0"/>
        <v>596922</v>
      </c>
      <c r="L14" s="164">
        <f t="shared" si="0"/>
        <v>243323</v>
      </c>
      <c r="M14" s="164">
        <f t="shared" si="0"/>
        <v>639453</v>
      </c>
      <c r="N14" s="164">
        <f t="shared" si="0"/>
        <v>256959</v>
      </c>
      <c r="O14" s="164">
        <f t="shared" si="0"/>
        <v>679463</v>
      </c>
      <c r="P14" s="164">
        <f t="shared" si="0"/>
        <v>261286</v>
      </c>
      <c r="Q14" s="164">
        <f t="shared" si="0"/>
        <v>735895</v>
      </c>
      <c r="R14" s="164">
        <f t="shared" si="0"/>
        <v>267358</v>
      </c>
      <c r="S14" s="164">
        <f t="shared" si="0"/>
        <v>760652</v>
      </c>
    </row>
  </sheetData>
  <mergeCells count="13">
    <mergeCell ref="N3:O3"/>
    <mergeCell ref="P3:Q3"/>
    <mergeCell ref="R3:S3"/>
    <mergeCell ref="A1:R1"/>
    <mergeCell ref="A2:R2"/>
    <mergeCell ref="A3:A4"/>
    <mergeCell ref="B3:B4"/>
    <mergeCell ref="C3:C4"/>
    <mergeCell ref="D3:E3"/>
    <mergeCell ref="F3:G3"/>
    <mergeCell ref="H3:I3"/>
    <mergeCell ref="J3:K3"/>
    <mergeCell ref="L3:M3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9C43C-FB3E-4907-A374-B87D5D9ECC8D}">
  <dimension ref="A1:L146"/>
  <sheetViews>
    <sheetView workbookViewId="0">
      <selection activeCell="A3" sqref="A3:K3"/>
    </sheetView>
  </sheetViews>
  <sheetFormatPr defaultRowHeight="15" x14ac:dyDescent="0.25"/>
  <cols>
    <col min="2" max="2" width="18.85546875" bestFit="1" customWidth="1"/>
    <col min="3" max="3" width="6.5703125" bestFit="1" customWidth="1"/>
    <col min="4" max="4" width="6" bestFit="1" customWidth="1"/>
    <col min="5" max="5" width="12.42578125" bestFit="1" customWidth="1"/>
    <col min="6" max="6" width="11.7109375" customWidth="1"/>
    <col min="7" max="7" width="12.42578125" bestFit="1" customWidth="1"/>
    <col min="8" max="8" width="8.42578125" bestFit="1" customWidth="1"/>
    <col min="9" max="9" width="12.42578125" bestFit="1" customWidth="1"/>
    <col min="10" max="10" width="8.140625" bestFit="1" customWidth="1"/>
    <col min="11" max="11" width="12.42578125" bestFit="1" customWidth="1"/>
    <col min="12" max="12" width="9.85546875" customWidth="1"/>
  </cols>
  <sheetData>
    <row r="1" spans="1:11" x14ac:dyDescent="0.25">
      <c r="A1" s="403" t="s">
        <v>25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</row>
    <row r="2" spans="1:11" x14ac:dyDescent="0.25">
      <c r="A2" s="403" t="s">
        <v>714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</row>
    <row r="3" spans="1:11" x14ac:dyDescent="0.25">
      <c r="A3" s="404" t="s">
        <v>27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1" x14ac:dyDescent="0.25">
      <c r="A4" s="11" t="s">
        <v>28</v>
      </c>
      <c r="B4" s="11" t="s">
        <v>29</v>
      </c>
      <c r="C4" s="11" t="s">
        <v>30</v>
      </c>
      <c r="D4" s="11" t="s">
        <v>31</v>
      </c>
      <c r="E4" s="11" t="s">
        <v>32</v>
      </c>
      <c r="F4" s="11" t="s">
        <v>33</v>
      </c>
      <c r="G4" s="11" t="s">
        <v>34</v>
      </c>
      <c r="H4" s="11" t="s">
        <v>35</v>
      </c>
      <c r="I4" s="11" t="s">
        <v>36</v>
      </c>
      <c r="J4" s="11" t="s">
        <v>37</v>
      </c>
      <c r="K4" s="11" t="s">
        <v>38</v>
      </c>
    </row>
    <row r="5" spans="1:11" x14ac:dyDescent="0.25">
      <c r="A5" s="11">
        <v>1</v>
      </c>
      <c r="B5" s="11" t="s">
        <v>39</v>
      </c>
      <c r="C5" s="12">
        <v>8.3702459999999999</v>
      </c>
      <c r="D5" s="12">
        <v>1.2848280000000001</v>
      </c>
      <c r="E5" s="12">
        <v>1.734666</v>
      </c>
      <c r="F5" s="12">
        <v>2.8627389999999999</v>
      </c>
      <c r="G5" s="12">
        <v>34.551085</v>
      </c>
      <c r="H5" s="12">
        <v>0.48461799999999999</v>
      </c>
      <c r="I5" s="12">
        <v>2.5994259999999998</v>
      </c>
      <c r="J5" s="12">
        <v>0.107073</v>
      </c>
      <c r="K5" s="12">
        <v>51.994681</v>
      </c>
    </row>
    <row r="6" spans="1:11" x14ac:dyDescent="0.25">
      <c r="A6" s="11">
        <v>2</v>
      </c>
      <c r="B6" s="11" t="s">
        <v>40</v>
      </c>
      <c r="C6" s="12">
        <v>9.8875329999999995</v>
      </c>
      <c r="D6" s="12">
        <v>1.4955540000000001</v>
      </c>
      <c r="E6" s="12">
        <v>1.514364</v>
      </c>
      <c r="F6" s="12">
        <v>2.228774</v>
      </c>
      <c r="G6" s="12">
        <v>14.824881</v>
      </c>
      <c r="H6" s="12">
        <v>0.51714700000000002</v>
      </c>
      <c r="I6" s="12">
        <v>2.5916809999999999</v>
      </c>
      <c r="J6" s="12">
        <v>0.13953299999999999</v>
      </c>
      <c r="K6" s="12">
        <v>33.199466999999999</v>
      </c>
    </row>
    <row r="7" spans="1:11" x14ac:dyDescent="0.25">
      <c r="A7" s="11">
        <v>3</v>
      </c>
      <c r="B7" s="11" t="s">
        <v>41</v>
      </c>
      <c r="C7" s="12">
        <v>8.5130339999999993</v>
      </c>
      <c r="D7" s="12">
        <v>1.175079</v>
      </c>
      <c r="E7" s="12">
        <v>1.436483</v>
      </c>
      <c r="F7" s="12">
        <v>2.7002290000000002</v>
      </c>
      <c r="G7" s="12">
        <v>13.517994</v>
      </c>
      <c r="H7" s="12">
        <v>0.520903</v>
      </c>
      <c r="I7" s="12">
        <v>2.5701610000000001</v>
      </c>
      <c r="J7" s="12">
        <v>0.116436</v>
      </c>
      <c r="K7" s="12">
        <v>30.550318999999998</v>
      </c>
    </row>
    <row r="8" spans="1:11" x14ac:dyDescent="0.25">
      <c r="A8" s="11">
        <v>4</v>
      </c>
      <c r="B8" s="11" t="s">
        <v>42</v>
      </c>
      <c r="C8" s="12">
        <v>9.2726570000000006</v>
      </c>
      <c r="D8" s="12">
        <v>1.33043</v>
      </c>
      <c r="E8" s="12">
        <v>1.4052370000000001</v>
      </c>
      <c r="F8" s="12">
        <v>3.192202</v>
      </c>
      <c r="G8" s="12">
        <v>26.239739</v>
      </c>
      <c r="H8" s="12">
        <v>0.52222500000000005</v>
      </c>
      <c r="I8" s="12">
        <v>2.5713360000000001</v>
      </c>
      <c r="J8" s="12">
        <v>0.157809</v>
      </c>
      <c r="K8" s="12">
        <v>44.691634999999998</v>
      </c>
    </row>
    <row r="9" spans="1:11" x14ac:dyDescent="0.25">
      <c r="A9" s="11">
        <v>5</v>
      </c>
      <c r="B9" s="11" t="s">
        <v>43</v>
      </c>
      <c r="C9" s="12">
        <v>8.9884500000000003</v>
      </c>
      <c r="D9" s="12">
        <v>1.2776590000000001</v>
      </c>
      <c r="E9" s="12">
        <v>1.4105270000000001</v>
      </c>
      <c r="F9" s="12">
        <v>3.0285540000000002</v>
      </c>
      <c r="G9" s="12">
        <v>30.064481000000001</v>
      </c>
      <c r="H9" s="12">
        <v>0.51719099999999996</v>
      </c>
      <c r="I9" s="12">
        <v>2.5848469999999999</v>
      </c>
      <c r="J9" s="12">
        <v>0.15645200000000001</v>
      </c>
      <c r="K9" s="12">
        <v>48.028160999999997</v>
      </c>
    </row>
    <row r="10" spans="1:11" x14ac:dyDescent="0.25">
      <c r="A10" s="11">
        <v>6</v>
      </c>
      <c r="B10" s="11" t="s">
        <v>44</v>
      </c>
      <c r="C10" s="12">
        <v>9.0532160000000008</v>
      </c>
      <c r="D10" s="12">
        <v>1.299158</v>
      </c>
      <c r="E10" s="12">
        <v>1.4311069999999999</v>
      </c>
      <c r="F10" s="12">
        <v>3.1605050000000001</v>
      </c>
      <c r="G10" s="12">
        <v>29.854386999999999</v>
      </c>
      <c r="H10" s="12">
        <v>0.51914499999999997</v>
      </c>
      <c r="I10" s="12">
        <v>2.616072</v>
      </c>
      <c r="J10" s="12">
        <v>0.14155400000000001</v>
      </c>
      <c r="K10" s="12">
        <v>48.075144000000002</v>
      </c>
    </row>
    <row r="11" spans="1:11" x14ac:dyDescent="0.25">
      <c r="A11" s="11">
        <v>7</v>
      </c>
      <c r="B11" s="11" t="s">
        <v>45</v>
      </c>
      <c r="C11" s="12">
        <v>9.0968470000000003</v>
      </c>
      <c r="D11" s="12">
        <v>1.296389</v>
      </c>
      <c r="E11" s="12">
        <v>1.3892329999999999</v>
      </c>
      <c r="F11" s="12">
        <v>3.395991</v>
      </c>
      <c r="G11" s="12">
        <v>29.662776000000001</v>
      </c>
      <c r="H11" s="12">
        <v>0.519926</v>
      </c>
      <c r="I11" s="12">
        <v>2.6029460000000002</v>
      </c>
      <c r="J11" s="12">
        <v>0.111036</v>
      </c>
      <c r="K11" s="12">
        <v>48.075144000000002</v>
      </c>
    </row>
    <row r="12" spans="1:11" x14ac:dyDescent="0.25">
      <c r="A12" s="11">
        <v>8</v>
      </c>
      <c r="B12" s="11" t="s">
        <v>46</v>
      </c>
      <c r="C12" s="12">
        <v>8.1791710000000002</v>
      </c>
      <c r="D12" s="12">
        <v>1.248237</v>
      </c>
      <c r="E12" s="12">
        <v>1.643116</v>
      </c>
      <c r="F12" s="12">
        <v>3.2509890000000001</v>
      </c>
      <c r="G12" s="12">
        <v>30.515930999999998</v>
      </c>
      <c r="H12" s="12">
        <v>0.51733200000000001</v>
      </c>
      <c r="I12" s="12">
        <v>2.593699</v>
      </c>
      <c r="J12" s="12">
        <v>0.126669</v>
      </c>
      <c r="K12" s="12">
        <v>48.075144000000002</v>
      </c>
    </row>
    <row r="13" spans="1:11" x14ac:dyDescent="0.25">
      <c r="A13" s="11">
        <v>9</v>
      </c>
      <c r="B13" s="11" t="s">
        <v>47</v>
      </c>
      <c r="C13" s="12">
        <v>7.7037699999999996</v>
      </c>
      <c r="D13" s="12">
        <v>1.2737449999999999</v>
      </c>
      <c r="E13" s="12">
        <v>2.0424929999999999</v>
      </c>
      <c r="F13" s="12">
        <v>3.4903680000000001</v>
      </c>
      <c r="G13" s="12">
        <v>30.305461000000001</v>
      </c>
      <c r="H13" s="12">
        <v>0.51064600000000004</v>
      </c>
      <c r="I13" s="12">
        <v>2.6161889999999999</v>
      </c>
      <c r="J13" s="12">
        <v>0.13247200000000001</v>
      </c>
      <c r="K13" s="12">
        <v>48.075144000000002</v>
      </c>
    </row>
    <row r="14" spans="1:11" x14ac:dyDescent="0.25">
      <c r="A14" s="11">
        <v>10</v>
      </c>
      <c r="B14" s="11" t="s">
        <v>48</v>
      </c>
      <c r="C14" s="12">
        <v>8.0076549999999997</v>
      </c>
      <c r="D14" s="12">
        <v>1.3167439999999999</v>
      </c>
      <c r="E14" s="12">
        <v>1.841286</v>
      </c>
      <c r="F14" s="12">
        <v>3.415028</v>
      </c>
      <c r="G14" s="12">
        <v>30.269819999999999</v>
      </c>
      <c r="H14" s="12">
        <v>0.51889300000000005</v>
      </c>
      <c r="I14" s="12">
        <v>2.5743420000000001</v>
      </c>
      <c r="J14" s="12">
        <v>0.13137599999999999</v>
      </c>
      <c r="K14" s="12">
        <v>48.075144000000002</v>
      </c>
    </row>
    <row r="15" spans="1:11" x14ac:dyDescent="0.25">
      <c r="A15" s="11">
        <v>11</v>
      </c>
      <c r="B15" s="11" t="s">
        <v>49</v>
      </c>
      <c r="C15" s="12">
        <v>8.5408539999999995</v>
      </c>
      <c r="D15" s="12">
        <v>1.3002659999999999</v>
      </c>
      <c r="E15" s="12">
        <v>1.695112</v>
      </c>
      <c r="F15" s="12">
        <v>2.929376</v>
      </c>
      <c r="G15" s="12">
        <v>30.380887999999999</v>
      </c>
      <c r="H15" s="12">
        <v>0.51346700000000001</v>
      </c>
      <c r="I15" s="12">
        <v>2.576835</v>
      </c>
      <c r="J15" s="12">
        <v>0.138346</v>
      </c>
      <c r="K15" s="12">
        <v>48.075144000000002</v>
      </c>
    </row>
    <row r="16" spans="1:11" x14ac:dyDescent="0.25">
      <c r="A16" s="11">
        <v>12</v>
      </c>
      <c r="B16" s="11" t="s">
        <v>50</v>
      </c>
      <c r="C16" s="12">
        <v>9.6091440000000006</v>
      </c>
      <c r="D16" s="12">
        <v>1.450172</v>
      </c>
      <c r="E16" s="12">
        <v>1.6759390000000001</v>
      </c>
      <c r="F16" s="12">
        <v>2.7226509999999999</v>
      </c>
      <c r="G16" s="12">
        <v>29.343871</v>
      </c>
      <c r="H16" s="12">
        <v>0.51194799999999996</v>
      </c>
      <c r="I16" s="12">
        <v>2.6045910000000001</v>
      </c>
      <c r="J16" s="12">
        <v>0.156828</v>
      </c>
      <c r="K16" s="12">
        <v>48.075143999999995</v>
      </c>
    </row>
    <row r="17" spans="1:11" x14ac:dyDescent="0.25">
      <c r="A17" s="13" t="s">
        <v>38</v>
      </c>
      <c r="B17" s="13"/>
      <c r="C17" s="14">
        <v>105.222577</v>
      </c>
      <c r="D17" s="14">
        <v>15.748261000000001</v>
      </c>
      <c r="E17" s="14">
        <v>19.219563000000001</v>
      </c>
      <c r="F17" s="14">
        <v>36.377406000000001</v>
      </c>
      <c r="G17" s="14">
        <v>329.53131400000001</v>
      </c>
      <c r="H17" s="14">
        <v>6.1734410000000013</v>
      </c>
      <c r="I17" s="14">
        <v>31.102124999999997</v>
      </c>
      <c r="J17" s="14">
        <v>1.6155839999999999</v>
      </c>
      <c r="K17" s="14">
        <v>544.99027100000012</v>
      </c>
    </row>
    <row r="19" spans="1:11" x14ac:dyDescent="0.25">
      <c r="A19" s="403" t="s">
        <v>25</v>
      </c>
      <c r="B19" s="403"/>
      <c r="C19" s="403"/>
      <c r="D19" s="403"/>
      <c r="E19" s="403"/>
      <c r="F19" s="403"/>
      <c r="G19" s="403"/>
      <c r="H19" s="403"/>
      <c r="I19" s="403"/>
      <c r="J19" s="403"/>
      <c r="K19" s="403"/>
    </row>
    <row r="20" spans="1:11" x14ac:dyDescent="0.25">
      <c r="A20" s="403" t="s">
        <v>26</v>
      </c>
      <c r="B20" s="403"/>
      <c r="C20" s="403"/>
      <c r="D20" s="403"/>
      <c r="E20" s="403"/>
      <c r="F20" s="403"/>
      <c r="G20" s="403"/>
      <c r="H20" s="403"/>
      <c r="I20" s="403"/>
      <c r="J20" s="403"/>
      <c r="K20" s="403"/>
    </row>
    <row r="21" spans="1:11" x14ac:dyDescent="0.25">
      <c r="A21" s="403" t="s">
        <v>51</v>
      </c>
      <c r="B21" s="403"/>
      <c r="C21" s="403"/>
      <c r="D21" s="403"/>
      <c r="E21" s="403"/>
      <c r="F21" s="403"/>
      <c r="G21" s="403"/>
      <c r="H21" s="403"/>
      <c r="I21" s="403"/>
      <c r="J21" s="403"/>
      <c r="K21" s="403"/>
    </row>
    <row r="22" spans="1:11" x14ac:dyDescent="0.25">
      <c r="A22" s="11" t="s">
        <v>28</v>
      </c>
      <c r="B22" s="11" t="s">
        <v>29</v>
      </c>
      <c r="C22" s="11" t="s">
        <v>30</v>
      </c>
      <c r="D22" s="11" t="s">
        <v>31</v>
      </c>
      <c r="E22" s="11" t="s">
        <v>32</v>
      </c>
      <c r="F22" s="11" t="s">
        <v>33</v>
      </c>
      <c r="G22" s="11" t="s">
        <v>34</v>
      </c>
      <c r="H22" s="11" t="s">
        <v>35</v>
      </c>
      <c r="I22" s="11" t="s">
        <v>36</v>
      </c>
      <c r="J22" s="11" t="s">
        <v>37</v>
      </c>
      <c r="K22" s="11" t="s">
        <v>38</v>
      </c>
    </row>
    <row r="23" spans="1:11" x14ac:dyDescent="0.25">
      <c r="A23" s="11">
        <v>1</v>
      </c>
      <c r="B23" s="11" t="s">
        <v>52</v>
      </c>
      <c r="C23" s="12">
        <v>9.5524920000000009</v>
      </c>
      <c r="D23" s="12">
        <v>1.5169189999999999</v>
      </c>
      <c r="E23" s="12">
        <v>1.4719409999999999</v>
      </c>
      <c r="F23" s="12">
        <v>2.5216129999999999</v>
      </c>
      <c r="G23" s="12">
        <v>33.830933999999999</v>
      </c>
      <c r="H23" s="12">
        <v>0.51303299999999996</v>
      </c>
      <c r="I23" s="12">
        <v>2.5977079999999999</v>
      </c>
      <c r="J23" s="12">
        <v>0.12950500000000001</v>
      </c>
      <c r="K23" s="12">
        <v>52.134144999999997</v>
      </c>
    </row>
    <row r="24" spans="1:11" x14ac:dyDescent="0.25">
      <c r="A24" s="11">
        <v>2</v>
      </c>
      <c r="B24" s="11" t="s">
        <v>53</v>
      </c>
      <c r="C24" s="12">
        <v>9.5712840000000003</v>
      </c>
      <c r="D24" s="12">
        <v>1.5033160000000001</v>
      </c>
      <c r="E24" s="12">
        <v>1.330781</v>
      </c>
      <c r="F24" s="12">
        <v>2.7695050000000001</v>
      </c>
      <c r="G24" s="12">
        <v>14.325844</v>
      </c>
      <c r="H24" s="12">
        <v>0.50422800000000001</v>
      </c>
      <c r="I24" s="12">
        <v>2.166404</v>
      </c>
      <c r="J24" s="12">
        <v>0.117295</v>
      </c>
      <c r="K24" s="12">
        <v>32.288657000000001</v>
      </c>
    </row>
    <row r="25" spans="1:11" x14ac:dyDescent="0.25">
      <c r="A25" s="11">
        <v>3</v>
      </c>
      <c r="B25" s="11" t="s">
        <v>54</v>
      </c>
      <c r="C25" s="12">
        <v>9.6340850000000007</v>
      </c>
      <c r="D25" s="12">
        <v>1.4913639999999999</v>
      </c>
      <c r="E25" s="12">
        <v>0.90725699999999998</v>
      </c>
      <c r="F25" s="12">
        <v>3.131732</v>
      </c>
      <c r="G25" s="12">
        <v>20.316928000000001</v>
      </c>
      <c r="H25" s="12">
        <v>0.490394</v>
      </c>
      <c r="I25" s="12">
        <v>2.137213</v>
      </c>
      <c r="J25" s="12">
        <v>0.13697999999999999</v>
      </c>
      <c r="K25" s="12">
        <v>38.245953000000007</v>
      </c>
    </row>
    <row r="26" spans="1:11" x14ac:dyDescent="0.25">
      <c r="A26" s="11">
        <v>4</v>
      </c>
      <c r="B26" s="11" t="s">
        <v>55</v>
      </c>
      <c r="C26" s="12">
        <v>9.3678240000000006</v>
      </c>
      <c r="D26" s="12">
        <v>1.3730340000000001</v>
      </c>
      <c r="E26" s="12">
        <v>1.608992</v>
      </c>
      <c r="F26" s="12">
        <v>2.8732929999999999</v>
      </c>
      <c r="G26" s="12">
        <v>24.132664999999999</v>
      </c>
      <c r="H26" s="12">
        <v>0.48486600000000002</v>
      </c>
      <c r="I26" s="12">
        <v>1.8300749999999999</v>
      </c>
      <c r="J26" s="12">
        <v>0.131027</v>
      </c>
      <c r="K26" s="12">
        <v>41.801776000000004</v>
      </c>
    </row>
    <row r="27" spans="1:11" x14ac:dyDescent="0.25">
      <c r="A27" s="11">
        <v>5</v>
      </c>
      <c r="B27" s="11" t="s">
        <v>56</v>
      </c>
      <c r="C27" s="12">
        <v>8.5298590000000001</v>
      </c>
      <c r="D27" s="12">
        <v>1.3330550000000001</v>
      </c>
      <c r="E27" s="12">
        <v>1.3734120000000001</v>
      </c>
      <c r="F27" s="12">
        <v>2.5444589999999998</v>
      </c>
      <c r="G27" s="12">
        <v>38.144547000000003</v>
      </c>
      <c r="H27" s="12">
        <v>0.48066799999999998</v>
      </c>
      <c r="I27" s="12">
        <v>1.8087470000000001</v>
      </c>
      <c r="J27" s="12">
        <v>0.20768600000000001</v>
      </c>
      <c r="K27" s="12">
        <v>54.422433000000005</v>
      </c>
    </row>
    <row r="28" spans="1:11" x14ac:dyDescent="0.25">
      <c r="A28" s="11">
        <v>6</v>
      </c>
      <c r="B28" s="11" t="s">
        <v>57</v>
      </c>
      <c r="C28" s="12">
        <v>8.9482189999999999</v>
      </c>
      <c r="D28" s="12">
        <v>1.6389009999999999</v>
      </c>
      <c r="E28" s="12">
        <v>1.4822010000000001</v>
      </c>
      <c r="F28" s="12">
        <v>2.6263570000000001</v>
      </c>
      <c r="G28" s="12">
        <v>42.222977</v>
      </c>
      <c r="H28" s="12">
        <v>0.47952099999999998</v>
      </c>
      <c r="I28" s="12">
        <v>1.825315</v>
      </c>
      <c r="J28" s="12">
        <v>0.108805</v>
      </c>
      <c r="K28" s="12">
        <v>59.332295999999999</v>
      </c>
    </row>
    <row r="29" spans="1:11" x14ac:dyDescent="0.25">
      <c r="A29" s="11">
        <v>7</v>
      </c>
      <c r="B29" s="11" t="s">
        <v>58</v>
      </c>
      <c r="C29" s="12">
        <v>8.3806729999999998</v>
      </c>
      <c r="D29" s="12">
        <v>1.271307</v>
      </c>
      <c r="E29" s="12">
        <v>1.3242510000000001</v>
      </c>
      <c r="F29" s="12">
        <v>2.7896519999999998</v>
      </c>
      <c r="G29" s="12">
        <v>19.783877</v>
      </c>
      <c r="H29" s="12">
        <v>0.72461299999999995</v>
      </c>
      <c r="I29" s="12">
        <v>3.8448169999999999</v>
      </c>
      <c r="J29" s="12">
        <v>0.130633</v>
      </c>
      <c r="K29" s="12">
        <v>38.249822999999999</v>
      </c>
    </row>
    <row r="30" spans="1:11" x14ac:dyDescent="0.25">
      <c r="A30" s="11">
        <v>8</v>
      </c>
      <c r="B30" s="11" t="s">
        <v>59</v>
      </c>
      <c r="C30" s="12">
        <v>7.5777140000000003</v>
      </c>
      <c r="D30" s="12">
        <v>1.223346</v>
      </c>
      <c r="E30" s="12">
        <v>2.0490370000000002</v>
      </c>
      <c r="F30" s="12">
        <v>3.1222150000000002</v>
      </c>
      <c r="G30" s="12">
        <v>27.494378999999999</v>
      </c>
      <c r="H30" s="12">
        <v>0.55298999999999998</v>
      </c>
      <c r="I30" s="12">
        <v>2.0974050000000002</v>
      </c>
      <c r="J30" s="12">
        <v>0.13020000000000001</v>
      </c>
      <c r="K30" s="12">
        <v>44.247286000000003</v>
      </c>
    </row>
    <row r="31" spans="1:11" x14ac:dyDescent="0.25">
      <c r="A31" s="11">
        <v>9</v>
      </c>
      <c r="B31" s="11" t="s">
        <v>60</v>
      </c>
      <c r="C31" s="12">
        <v>7.5074050000000003</v>
      </c>
      <c r="D31" s="12">
        <v>1.239455</v>
      </c>
      <c r="E31" s="12">
        <v>2.4705270000000001</v>
      </c>
      <c r="F31" s="12">
        <v>3.140263</v>
      </c>
      <c r="G31" s="12">
        <v>40.312373000000001</v>
      </c>
      <c r="H31" s="12">
        <v>0.487786</v>
      </c>
      <c r="I31" s="12">
        <v>1.8989910000000001</v>
      </c>
      <c r="J31" s="12">
        <v>0.12600900000000001</v>
      </c>
      <c r="K31" s="12">
        <v>57.182809000000006</v>
      </c>
    </row>
    <row r="32" spans="1:11" x14ac:dyDescent="0.25">
      <c r="A32" s="11">
        <v>10</v>
      </c>
      <c r="B32" s="11" t="s">
        <v>61</v>
      </c>
      <c r="C32" s="12">
        <v>7.4918129999999996</v>
      </c>
      <c r="D32" s="12">
        <v>1.2322569999999999</v>
      </c>
      <c r="E32" s="12">
        <v>2.1235010000000001</v>
      </c>
      <c r="F32" s="12">
        <v>2.7567590000000002</v>
      </c>
      <c r="G32" s="12">
        <v>50.245071000000003</v>
      </c>
      <c r="H32" s="12">
        <v>0.50402800000000003</v>
      </c>
      <c r="I32" s="12">
        <v>2.0795149999999998</v>
      </c>
      <c r="J32" s="12">
        <v>0.12704599999999999</v>
      </c>
      <c r="K32" s="12">
        <v>66.559989999999999</v>
      </c>
    </row>
    <row r="33" spans="1:12" x14ac:dyDescent="0.25">
      <c r="A33" s="11">
        <v>11</v>
      </c>
      <c r="B33" s="11" t="s">
        <v>62</v>
      </c>
      <c r="C33" s="12">
        <v>8.4090439999999997</v>
      </c>
      <c r="D33" s="12">
        <v>1.3783179999999999</v>
      </c>
      <c r="E33" s="12">
        <v>2.0226109999999999</v>
      </c>
      <c r="F33" s="12">
        <v>2.7742610000000001</v>
      </c>
      <c r="G33" s="12">
        <v>51.601348000000002</v>
      </c>
      <c r="H33" s="12">
        <v>0.50391200000000003</v>
      </c>
      <c r="I33" s="12">
        <v>2.0599789999999998</v>
      </c>
      <c r="J33" s="12">
        <v>0.143815</v>
      </c>
      <c r="K33" s="12">
        <v>68.893287999999998</v>
      </c>
    </row>
    <row r="34" spans="1:12" x14ac:dyDescent="0.25">
      <c r="A34" s="11">
        <v>12</v>
      </c>
      <c r="B34" s="11" t="s">
        <v>63</v>
      </c>
      <c r="C34" s="12">
        <v>10.242314</v>
      </c>
      <c r="D34" s="12">
        <v>1.6702189999999999</v>
      </c>
      <c r="E34" s="12">
        <v>1.6734169999999999</v>
      </c>
      <c r="F34" s="12">
        <v>2.673009</v>
      </c>
      <c r="G34" s="12">
        <v>54.036307999999998</v>
      </c>
      <c r="H34" s="12">
        <v>0.50445200000000001</v>
      </c>
      <c r="I34" s="12">
        <v>2.079955</v>
      </c>
      <c r="J34" s="12">
        <v>0.17163400000000001</v>
      </c>
      <c r="K34" s="12">
        <v>73.051307999999992</v>
      </c>
    </row>
    <row r="35" spans="1:12" x14ac:dyDescent="0.25">
      <c r="A35" s="11" t="s">
        <v>38</v>
      </c>
      <c r="B35" s="11"/>
      <c r="C35" s="12">
        <v>105.212726</v>
      </c>
      <c r="D35" s="12">
        <v>16.871491000000002</v>
      </c>
      <c r="E35" s="12">
        <v>19.837928000000005</v>
      </c>
      <c r="F35" s="12">
        <v>33.723117999999999</v>
      </c>
      <c r="G35" s="12">
        <v>416.44725099999999</v>
      </c>
      <c r="H35" s="12">
        <v>6.2304909999999998</v>
      </c>
      <c r="I35" s="12">
        <v>26.426124000000002</v>
      </c>
      <c r="J35" s="12">
        <v>1.6606350000000003</v>
      </c>
      <c r="K35" s="12">
        <v>626.40976399999988</v>
      </c>
    </row>
    <row r="36" spans="1:12" x14ac:dyDescent="0.25">
      <c r="L36" s="146"/>
    </row>
    <row r="38" spans="1:12" x14ac:dyDescent="0.25">
      <c r="A38" s="403" t="s">
        <v>25</v>
      </c>
      <c r="B38" s="403"/>
      <c r="C38" s="403"/>
      <c r="D38" s="403"/>
      <c r="E38" s="403"/>
      <c r="F38" s="403"/>
      <c r="G38" s="403"/>
      <c r="H38" s="403"/>
      <c r="I38" s="403"/>
      <c r="J38" s="403"/>
      <c r="K38" s="403"/>
    </row>
    <row r="39" spans="1:12" x14ac:dyDescent="0.25">
      <c r="A39" s="403" t="s">
        <v>26</v>
      </c>
      <c r="B39" s="403"/>
      <c r="C39" s="403"/>
      <c r="D39" s="403"/>
      <c r="E39" s="403"/>
      <c r="F39" s="403"/>
      <c r="G39" s="403"/>
      <c r="H39" s="403"/>
      <c r="I39" s="403"/>
      <c r="J39" s="403"/>
      <c r="K39" s="403"/>
    </row>
    <row r="40" spans="1:12" x14ac:dyDescent="0.25">
      <c r="A40" s="403" t="s">
        <v>64</v>
      </c>
      <c r="B40" s="403"/>
      <c r="C40" s="403"/>
      <c r="D40" s="403"/>
      <c r="E40" s="403"/>
      <c r="F40" s="403"/>
      <c r="G40" s="403"/>
      <c r="H40" s="403"/>
      <c r="I40" s="403"/>
      <c r="J40" s="403"/>
      <c r="K40" s="403"/>
    </row>
    <row r="41" spans="1:12" x14ac:dyDescent="0.25">
      <c r="A41" s="11" t="s">
        <v>28</v>
      </c>
      <c r="B41" s="11" t="s">
        <v>29</v>
      </c>
      <c r="C41" s="11" t="s">
        <v>30</v>
      </c>
      <c r="D41" s="11" t="s">
        <v>31</v>
      </c>
      <c r="E41" s="11" t="s">
        <v>32</v>
      </c>
      <c r="F41" s="11" t="s">
        <v>33</v>
      </c>
      <c r="G41" s="11" t="s">
        <v>34</v>
      </c>
      <c r="H41" s="15" t="s">
        <v>141</v>
      </c>
      <c r="I41" s="11" t="s">
        <v>142</v>
      </c>
      <c r="J41" s="11" t="s">
        <v>37</v>
      </c>
      <c r="K41" s="11" t="s">
        <v>38</v>
      </c>
    </row>
    <row r="42" spans="1:12" x14ac:dyDescent="0.25">
      <c r="A42" s="11">
        <v>1</v>
      </c>
      <c r="B42" s="11" t="s">
        <v>65</v>
      </c>
      <c r="C42" s="12">
        <v>10.632489</v>
      </c>
      <c r="D42" s="12">
        <v>1.742319</v>
      </c>
      <c r="E42" s="12">
        <v>1.675943</v>
      </c>
      <c r="F42" s="12">
        <v>2.4219040000000001</v>
      </c>
      <c r="G42" s="12">
        <v>36.659613999999998</v>
      </c>
      <c r="H42" s="12">
        <v>0.51</v>
      </c>
      <c r="I42" s="12">
        <v>2.0567739999999999</v>
      </c>
      <c r="J42" s="12">
        <v>0.15188599999999999</v>
      </c>
      <c r="K42" s="12">
        <f>SUM(C42:J42)</f>
        <v>55.850928999999987</v>
      </c>
    </row>
    <row r="43" spans="1:12" x14ac:dyDescent="0.25">
      <c r="A43" s="11">
        <v>2</v>
      </c>
      <c r="B43" s="11" t="s">
        <v>66</v>
      </c>
      <c r="C43" s="12">
        <v>10.370205</v>
      </c>
      <c r="D43" s="12">
        <v>1.8265610000000001</v>
      </c>
      <c r="E43" s="12">
        <v>1.787496</v>
      </c>
      <c r="F43" s="12">
        <v>2.0193400000000001</v>
      </c>
      <c r="G43" s="12">
        <v>18.941571549999999</v>
      </c>
      <c r="H43" s="12">
        <v>0.5</v>
      </c>
      <c r="I43" s="12">
        <v>2.109804</v>
      </c>
      <c r="J43" s="12">
        <v>0.16256599999999999</v>
      </c>
      <c r="K43" s="12">
        <f t="shared" ref="K43:K53" si="0">SUM(C43:J43)</f>
        <v>37.717543549999995</v>
      </c>
    </row>
    <row r="44" spans="1:12" x14ac:dyDescent="0.25">
      <c r="A44" s="11">
        <v>3</v>
      </c>
      <c r="B44" s="11" t="s">
        <v>67</v>
      </c>
      <c r="C44" s="12">
        <v>10.272043999999999</v>
      </c>
      <c r="D44" s="12">
        <v>1.5193289999999999</v>
      </c>
      <c r="E44" s="12">
        <v>1.7149289999999999</v>
      </c>
      <c r="F44" s="12">
        <v>2.8549799999999999</v>
      </c>
      <c r="G44" s="12">
        <v>18.329719499999999</v>
      </c>
      <c r="H44" s="12">
        <v>0.51</v>
      </c>
      <c r="I44" s="12">
        <v>2.0378699999999998</v>
      </c>
      <c r="J44" s="12">
        <v>0.13339799999999999</v>
      </c>
      <c r="K44" s="12">
        <f t="shared" si="0"/>
        <v>37.372269499999994</v>
      </c>
    </row>
    <row r="45" spans="1:12" x14ac:dyDescent="0.25">
      <c r="A45" s="11">
        <v>4</v>
      </c>
      <c r="B45" s="11" t="s">
        <v>68</v>
      </c>
      <c r="C45" s="12">
        <v>9.8611109999999993</v>
      </c>
      <c r="D45" s="12">
        <v>1.5136620000000001</v>
      </c>
      <c r="E45" s="12">
        <v>1.8158380000000001</v>
      </c>
      <c r="F45" s="12">
        <v>2.950256</v>
      </c>
      <c r="G45" s="12">
        <v>30.30303528</v>
      </c>
      <c r="H45" s="12">
        <v>0.59</v>
      </c>
      <c r="I45" s="12">
        <v>3.0145910000000002</v>
      </c>
      <c r="J45" s="12">
        <v>0.174955</v>
      </c>
      <c r="K45" s="12">
        <f t="shared" si="0"/>
        <v>50.223448280000007</v>
      </c>
    </row>
    <row r="46" spans="1:12" x14ac:dyDescent="0.25">
      <c r="A46" s="11">
        <v>5</v>
      </c>
      <c r="B46" s="11" t="s">
        <v>69</v>
      </c>
      <c r="C46" s="12">
        <v>10.898324000000001</v>
      </c>
      <c r="D46" s="12">
        <v>2.6447750000000001</v>
      </c>
      <c r="E46" s="12">
        <v>2.1285340000000001</v>
      </c>
      <c r="F46" s="12">
        <v>3.2062889999999999</v>
      </c>
      <c r="G46" s="12">
        <v>41.669293010000004</v>
      </c>
      <c r="H46" s="12">
        <v>0.5</v>
      </c>
      <c r="I46" s="12">
        <v>2.1419030000000001</v>
      </c>
      <c r="J46" s="12">
        <v>0.16352</v>
      </c>
      <c r="K46" s="12">
        <f t="shared" si="0"/>
        <v>63.35263801</v>
      </c>
    </row>
    <row r="47" spans="1:12" x14ac:dyDescent="0.25">
      <c r="A47" s="11">
        <v>6</v>
      </c>
      <c r="B47" s="11" t="s">
        <v>70</v>
      </c>
      <c r="C47" s="12">
        <v>10.687713</v>
      </c>
      <c r="D47" s="12">
        <v>1.6167130000000001</v>
      </c>
      <c r="E47" s="12">
        <v>1.8428960000000001</v>
      </c>
      <c r="F47" s="12">
        <v>2.8166519999999999</v>
      </c>
      <c r="G47" s="12">
        <v>40.321691299999998</v>
      </c>
      <c r="H47" s="12">
        <v>0.5</v>
      </c>
      <c r="I47" s="12">
        <v>2.1450689999999999</v>
      </c>
      <c r="J47" s="12">
        <v>0.135458</v>
      </c>
      <c r="K47" s="12">
        <f t="shared" si="0"/>
        <v>60.066192299999997</v>
      </c>
    </row>
    <row r="48" spans="1:12" x14ac:dyDescent="0.25">
      <c r="A48" s="11">
        <v>7</v>
      </c>
      <c r="B48" s="11" t="s">
        <v>71</v>
      </c>
      <c r="C48" s="12">
        <v>9.1426069999999999</v>
      </c>
      <c r="D48" s="12">
        <v>1.4235370000000001</v>
      </c>
      <c r="E48" s="12">
        <v>1.7977620000000001</v>
      </c>
      <c r="F48" s="12">
        <v>2.6354860000000002</v>
      </c>
      <c r="G48" s="12">
        <v>26.666305039999997</v>
      </c>
      <c r="H48" s="12">
        <v>0.5</v>
      </c>
      <c r="I48" s="12">
        <v>2.157038</v>
      </c>
      <c r="J48" s="12">
        <v>0.16567200000000001</v>
      </c>
      <c r="K48" s="12">
        <f t="shared" si="0"/>
        <v>44.488407039999998</v>
      </c>
    </row>
    <row r="49" spans="1:12" x14ac:dyDescent="0.25">
      <c r="A49" s="11">
        <v>8</v>
      </c>
      <c r="B49" s="11" t="s">
        <v>72</v>
      </c>
      <c r="C49" s="12">
        <v>8.2018970000000007</v>
      </c>
      <c r="D49" s="12">
        <v>1.499128</v>
      </c>
      <c r="E49" s="12">
        <v>2.264964</v>
      </c>
      <c r="F49" s="12">
        <v>2.6966960000000002</v>
      </c>
      <c r="G49" s="12">
        <v>20.276586799999997</v>
      </c>
      <c r="H49" s="12">
        <v>0.51</v>
      </c>
      <c r="I49" s="12">
        <v>2.1471539999999996</v>
      </c>
      <c r="J49" s="12">
        <v>0.19231400000000001</v>
      </c>
      <c r="K49" s="12">
        <f t="shared" si="0"/>
        <v>37.788739800000002</v>
      </c>
    </row>
    <row r="50" spans="1:12" x14ac:dyDescent="0.25">
      <c r="A50" s="11">
        <v>9</v>
      </c>
      <c r="B50" s="11" t="s">
        <v>73</v>
      </c>
      <c r="C50" s="12">
        <v>8.1</v>
      </c>
      <c r="D50" s="12">
        <v>1.477932</v>
      </c>
      <c r="E50" s="12">
        <v>2.0926079999999998</v>
      </c>
      <c r="F50" s="12">
        <v>2.9732419999999999</v>
      </c>
      <c r="G50" s="12">
        <v>26.666303039999999</v>
      </c>
      <c r="H50" s="12">
        <v>0.52</v>
      </c>
      <c r="I50" s="12">
        <v>2.2034340000000001</v>
      </c>
      <c r="J50" s="12">
        <v>0.14249200000000001</v>
      </c>
      <c r="K50" s="12">
        <f t="shared" si="0"/>
        <v>44.176011040000006</v>
      </c>
    </row>
    <row r="51" spans="1:12" x14ac:dyDescent="0.25">
      <c r="A51" s="11">
        <v>10</v>
      </c>
      <c r="B51" s="11" t="s">
        <v>74</v>
      </c>
      <c r="C51" s="12">
        <v>8.2371060000000007</v>
      </c>
      <c r="D51" s="12">
        <v>1.669335</v>
      </c>
      <c r="E51" s="12">
        <v>2.5894400000000002</v>
      </c>
      <c r="F51" s="12">
        <v>3.1530779999999998</v>
      </c>
      <c r="G51" s="12">
        <v>34.291461479999995</v>
      </c>
      <c r="H51" s="12">
        <v>0.52</v>
      </c>
      <c r="I51" s="12">
        <v>2.8796849999999998</v>
      </c>
      <c r="J51" s="12">
        <v>0.17372000000000001</v>
      </c>
      <c r="K51" s="12">
        <f t="shared" si="0"/>
        <v>53.513825480000008</v>
      </c>
    </row>
    <row r="52" spans="1:12" x14ac:dyDescent="0.25">
      <c r="A52" s="11">
        <v>11</v>
      </c>
      <c r="B52" s="11" t="s">
        <v>75</v>
      </c>
      <c r="C52" s="12">
        <v>8.6681329999999992</v>
      </c>
      <c r="D52" s="12">
        <v>1.5022059999999999</v>
      </c>
      <c r="E52" s="12">
        <v>1.58145</v>
      </c>
      <c r="F52" s="12">
        <v>2.7221799999999998</v>
      </c>
      <c r="G52" s="12">
        <v>32.68642792</v>
      </c>
      <c r="H52" s="12">
        <v>0.52</v>
      </c>
      <c r="I52" s="12">
        <v>2.5393180000000002</v>
      </c>
      <c r="J52" s="12">
        <v>0.15620400000000001</v>
      </c>
      <c r="K52" s="12">
        <f t="shared" si="0"/>
        <v>50.375918920000004</v>
      </c>
    </row>
    <row r="53" spans="1:12" x14ac:dyDescent="0.25">
      <c r="A53" s="11">
        <v>12</v>
      </c>
      <c r="B53" s="11" t="s">
        <v>76</v>
      </c>
      <c r="C53" s="12">
        <v>10.416824999999999</v>
      </c>
      <c r="D53" s="12">
        <v>1.963848</v>
      </c>
      <c r="E53" s="12">
        <v>1.8851690000000001</v>
      </c>
      <c r="F53" s="12">
        <v>2.9619430000000002</v>
      </c>
      <c r="G53" s="12">
        <v>38.094566199999996</v>
      </c>
      <c r="H53" s="12">
        <v>1.04</v>
      </c>
      <c r="I53" s="12">
        <v>2.3766129999999999</v>
      </c>
      <c r="J53" s="12">
        <v>0.18080299999999999</v>
      </c>
      <c r="K53" s="12">
        <f t="shared" si="0"/>
        <v>58.919767199999995</v>
      </c>
    </row>
    <row r="54" spans="1:12" x14ac:dyDescent="0.25">
      <c r="A54" s="13" t="s">
        <v>38</v>
      </c>
      <c r="B54" s="13"/>
      <c r="C54" s="14">
        <f>SUM(C42:C53)</f>
        <v>115.488454</v>
      </c>
      <c r="D54" s="14">
        <f t="shared" ref="D54:K54" si="1">SUM(D42:D53)</f>
        <v>20.399345</v>
      </c>
      <c r="E54" s="14">
        <f t="shared" si="1"/>
        <v>23.177029000000001</v>
      </c>
      <c r="F54" s="14">
        <f t="shared" si="1"/>
        <v>33.412045999999997</v>
      </c>
      <c r="G54" s="14">
        <f t="shared" si="1"/>
        <v>364.9065751199999</v>
      </c>
      <c r="H54" s="14">
        <f t="shared" si="1"/>
        <v>6.72</v>
      </c>
      <c r="I54" s="14">
        <f t="shared" si="1"/>
        <v>27.809252999999998</v>
      </c>
      <c r="J54" s="14">
        <f t="shared" si="1"/>
        <v>1.9329880000000002</v>
      </c>
      <c r="K54" s="14">
        <f t="shared" si="1"/>
        <v>593.84569011999997</v>
      </c>
      <c r="L54" s="146"/>
    </row>
    <row r="55" spans="1:12" x14ac:dyDescent="0.25">
      <c r="A55" s="403" t="s">
        <v>25</v>
      </c>
      <c r="B55" s="403"/>
      <c r="C55" s="403"/>
      <c r="D55" s="403"/>
      <c r="E55" s="403"/>
      <c r="F55" s="403"/>
      <c r="G55" s="403"/>
      <c r="H55" s="403"/>
      <c r="I55" s="403"/>
      <c r="J55" s="403"/>
      <c r="K55" s="403"/>
    </row>
    <row r="56" spans="1:12" x14ac:dyDescent="0.25">
      <c r="A56" s="403" t="s">
        <v>26</v>
      </c>
      <c r="B56" s="403"/>
      <c r="C56" s="403"/>
      <c r="D56" s="403"/>
      <c r="E56" s="403"/>
      <c r="F56" s="403"/>
      <c r="G56" s="403"/>
      <c r="H56" s="403"/>
      <c r="I56" s="403"/>
      <c r="J56" s="403"/>
      <c r="K56" s="403"/>
    </row>
    <row r="57" spans="1:12" x14ac:dyDescent="0.25">
      <c r="A57" s="403" t="s">
        <v>77</v>
      </c>
      <c r="B57" s="403"/>
      <c r="C57" s="403"/>
      <c r="D57" s="403"/>
      <c r="E57" s="403"/>
      <c r="F57" s="403"/>
      <c r="G57" s="403"/>
      <c r="H57" s="403"/>
      <c r="I57" s="403"/>
      <c r="J57" s="403"/>
      <c r="K57" s="403"/>
    </row>
    <row r="58" spans="1:12" x14ac:dyDescent="0.25">
      <c r="A58" s="11" t="s">
        <v>28</v>
      </c>
      <c r="B58" s="11" t="s">
        <v>29</v>
      </c>
      <c r="C58" s="11" t="s">
        <v>30</v>
      </c>
      <c r="D58" s="11" t="s">
        <v>31</v>
      </c>
      <c r="E58" s="11" t="s">
        <v>32</v>
      </c>
      <c r="F58" s="11" t="s">
        <v>33</v>
      </c>
      <c r="G58" s="11" t="s">
        <v>34</v>
      </c>
      <c r="H58" s="11" t="s">
        <v>141</v>
      </c>
      <c r="I58" s="11" t="s">
        <v>143</v>
      </c>
      <c r="J58" s="11" t="s">
        <v>37</v>
      </c>
      <c r="K58" s="11" t="s">
        <v>38</v>
      </c>
    </row>
    <row r="59" spans="1:12" x14ac:dyDescent="0.25">
      <c r="A59" s="11">
        <v>1</v>
      </c>
      <c r="B59" s="11" t="s">
        <v>78</v>
      </c>
      <c r="C59" s="12">
        <v>9.8886109999999992</v>
      </c>
      <c r="D59" s="12">
        <v>1.739984</v>
      </c>
      <c r="E59" s="12">
        <v>1.336322</v>
      </c>
      <c r="F59" s="12">
        <v>2.4069090000000002</v>
      </c>
      <c r="G59" s="12">
        <v>59.8018614</v>
      </c>
      <c r="H59" s="12">
        <v>0.5</v>
      </c>
      <c r="I59" s="12">
        <v>2.3627039999999999</v>
      </c>
      <c r="J59" s="12">
        <v>0.12133099999999999</v>
      </c>
      <c r="K59" s="12">
        <f>SUM(C59:J59)</f>
        <v>78.157722399999997</v>
      </c>
    </row>
    <row r="60" spans="1:12" x14ac:dyDescent="0.25">
      <c r="A60" s="11">
        <v>2</v>
      </c>
      <c r="B60" s="11" t="s">
        <v>79</v>
      </c>
      <c r="C60" s="12">
        <v>12.230722</v>
      </c>
      <c r="D60" s="12">
        <v>2.1553749999999998</v>
      </c>
      <c r="E60" s="12">
        <v>1.7963039999999999</v>
      </c>
      <c r="F60" s="12">
        <v>2.6916600000000002</v>
      </c>
      <c r="G60" s="12">
        <v>23.174547780000001</v>
      </c>
      <c r="H60" s="12">
        <v>0.51</v>
      </c>
      <c r="I60" s="12">
        <v>2.25</v>
      </c>
      <c r="J60" s="12">
        <v>0.16614399999999999</v>
      </c>
      <c r="K60" s="12">
        <f t="shared" ref="K60:K70" si="2">SUM(C60:J60)</f>
        <v>44.974752779999996</v>
      </c>
    </row>
    <row r="61" spans="1:12" x14ac:dyDescent="0.25">
      <c r="A61" s="11">
        <v>3</v>
      </c>
      <c r="B61" s="11" t="s">
        <v>80</v>
      </c>
      <c r="C61" s="12">
        <v>11.147187000000001</v>
      </c>
      <c r="D61" s="12">
        <v>1.9944729999999999</v>
      </c>
      <c r="E61" s="12">
        <v>2.0087259999999998</v>
      </c>
      <c r="F61" s="12">
        <v>2.5278320000000001</v>
      </c>
      <c r="G61" s="12">
        <v>22.425431399999997</v>
      </c>
      <c r="H61" s="12">
        <v>0.52</v>
      </c>
      <c r="I61" s="12">
        <v>2.2117399999999998</v>
      </c>
      <c r="J61" s="12">
        <v>0.20295099999999999</v>
      </c>
      <c r="K61" s="12">
        <f t="shared" si="2"/>
        <v>43.038340399999996</v>
      </c>
    </row>
    <row r="62" spans="1:12" x14ac:dyDescent="0.25">
      <c r="A62" s="11">
        <v>4</v>
      </c>
      <c r="B62" s="11" t="s">
        <v>81</v>
      </c>
      <c r="C62" s="12">
        <v>10.264668</v>
      </c>
      <c r="D62" s="12">
        <v>1.7955449999999999</v>
      </c>
      <c r="E62" s="12">
        <v>1.7245729999999999</v>
      </c>
      <c r="F62" s="12">
        <v>2.4171330000000002</v>
      </c>
      <c r="G62" s="12">
        <v>38.621576299999994</v>
      </c>
      <c r="H62" s="12">
        <v>0.66</v>
      </c>
      <c r="I62" s="12">
        <v>2.2026059999999998</v>
      </c>
      <c r="J62" s="12">
        <v>0.189884</v>
      </c>
      <c r="K62" s="12">
        <f t="shared" si="2"/>
        <v>57.875985299999989</v>
      </c>
    </row>
    <row r="63" spans="1:12" x14ac:dyDescent="0.25">
      <c r="A63" s="11">
        <v>5</v>
      </c>
      <c r="B63" s="11" t="s">
        <v>82</v>
      </c>
      <c r="C63" s="12">
        <v>10.888387</v>
      </c>
      <c r="D63" s="12">
        <v>1.8386100000000001</v>
      </c>
      <c r="E63" s="12">
        <v>2.3053319999999999</v>
      </c>
      <c r="F63" s="12">
        <v>2.495266</v>
      </c>
      <c r="G63" s="12">
        <v>54.07208782</v>
      </c>
      <c r="H63" s="12">
        <v>0.45</v>
      </c>
      <c r="I63" s="12">
        <v>1.9292770000000001</v>
      </c>
      <c r="J63" s="12">
        <v>0.18219399999999999</v>
      </c>
      <c r="K63" s="12">
        <f t="shared" si="2"/>
        <v>74.161153819999996</v>
      </c>
    </row>
    <row r="64" spans="1:12" x14ac:dyDescent="0.25">
      <c r="A64" s="11">
        <v>6</v>
      </c>
      <c r="B64" s="11" t="s">
        <v>83</v>
      </c>
      <c r="C64" s="12">
        <v>11.270505</v>
      </c>
      <c r="D64" s="12">
        <v>1.8914500000000001</v>
      </c>
      <c r="E64" s="12">
        <v>2.3491390000000001</v>
      </c>
      <c r="F64" s="12">
        <v>2.5505879999999999</v>
      </c>
      <c r="G64" s="12">
        <v>67.276861199999999</v>
      </c>
      <c r="H64" s="12">
        <v>0.49</v>
      </c>
      <c r="I64" s="12">
        <v>2.2406459999999999</v>
      </c>
      <c r="J64" s="12">
        <v>0.222466</v>
      </c>
      <c r="K64" s="12">
        <f t="shared" si="2"/>
        <v>88.291655199999994</v>
      </c>
    </row>
    <row r="65" spans="1:12" x14ac:dyDescent="0.25">
      <c r="A65" s="11">
        <v>7</v>
      </c>
      <c r="B65" s="11" t="s">
        <v>84</v>
      </c>
      <c r="C65" s="12">
        <v>10.665162</v>
      </c>
      <c r="D65" s="12">
        <v>1.7772600000000001</v>
      </c>
      <c r="E65" s="12">
        <v>1.891845</v>
      </c>
      <c r="F65" s="12">
        <v>2.237749</v>
      </c>
      <c r="G65" s="12">
        <v>61.215447040000001</v>
      </c>
      <c r="H65" s="12">
        <v>0.55000000000000004</v>
      </c>
      <c r="I65" s="12">
        <v>2.1491920000000002</v>
      </c>
      <c r="J65" s="12">
        <v>0.156858</v>
      </c>
      <c r="K65" s="12">
        <f t="shared" si="2"/>
        <v>80.643513040000002</v>
      </c>
    </row>
    <row r="66" spans="1:12" x14ac:dyDescent="0.25">
      <c r="A66" s="11">
        <v>8</v>
      </c>
      <c r="B66" s="11" t="s">
        <v>85</v>
      </c>
      <c r="C66" s="12">
        <v>11.377112</v>
      </c>
      <c r="D66" s="12">
        <v>1.8786590000000001</v>
      </c>
      <c r="E66" s="12">
        <v>2.20702</v>
      </c>
      <c r="F66" s="12">
        <v>2.7070650000000001</v>
      </c>
      <c r="G66" s="12">
        <v>44.430566400000004</v>
      </c>
      <c r="H66" s="12">
        <v>0.63</v>
      </c>
      <c r="I66" s="12">
        <v>2.8761019999999999</v>
      </c>
      <c r="J66" s="12">
        <v>0.21191299999999999</v>
      </c>
      <c r="K66" s="12">
        <f t="shared" si="2"/>
        <v>66.318437400000008</v>
      </c>
    </row>
    <row r="67" spans="1:12" x14ac:dyDescent="0.25">
      <c r="A67" s="11">
        <v>9</v>
      </c>
      <c r="B67" s="11" t="s">
        <v>86</v>
      </c>
      <c r="C67" s="12">
        <v>9.2442980000000006</v>
      </c>
      <c r="D67" s="12">
        <v>1.909861</v>
      </c>
      <c r="E67" s="12">
        <v>2.05036</v>
      </c>
      <c r="F67" s="12">
        <v>3.0799249999999998</v>
      </c>
      <c r="G67" s="12">
        <v>30.608035519999998</v>
      </c>
      <c r="H67" s="12">
        <v>0.5</v>
      </c>
      <c r="I67" s="12">
        <v>1.9714399999999999</v>
      </c>
      <c r="J67" s="12">
        <v>0.178677</v>
      </c>
      <c r="K67" s="12">
        <f t="shared" si="2"/>
        <v>49.542596519999996</v>
      </c>
    </row>
    <row r="68" spans="1:12" x14ac:dyDescent="0.25">
      <c r="A68" s="11">
        <v>10</v>
      </c>
      <c r="B68" s="11" t="s">
        <v>87</v>
      </c>
      <c r="C68" s="12">
        <v>8.9034759999999995</v>
      </c>
      <c r="D68" s="12">
        <v>1.6030850000000001</v>
      </c>
      <c r="E68" s="12">
        <v>2.0259830000000001</v>
      </c>
      <c r="F68" s="12">
        <v>3.1924679999999999</v>
      </c>
      <c r="G68" s="12">
        <v>53.563516159999999</v>
      </c>
      <c r="H68" s="12">
        <v>0.55000000000000004</v>
      </c>
      <c r="I68" s="12">
        <v>1.9443140000000001</v>
      </c>
      <c r="J68" s="12">
        <v>0.154588</v>
      </c>
      <c r="K68" s="12">
        <f t="shared" si="2"/>
        <v>71.937430160000005</v>
      </c>
    </row>
    <row r="69" spans="1:12" x14ac:dyDescent="0.25">
      <c r="A69" s="11">
        <v>11</v>
      </c>
      <c r="B69" s="11" t="s">
        <v>88</v>
      </c>
      <c r="C69" s="12">
        <v>10.349292999999999</v>
      </c>
      <c r="D69" s="12">
        <v>1.795277</v>
      </c>
      <c r="E69" s="12">
        <v>1.877507</v>
      </c>
      <c r="F69" s="12">
        <v>3.03</v>
      </c>
      <c r="G69" s="12">
        <v>41.469163639999998</v>
      </c>
      <c r="H69" s="12">
        <v>0.48</v>
      </c>
      <c r="I69" s="12">
        <v>2.0021149999999999</v>
      </c>
      <c r="J69" s="12">
        <v>0.19619800000000001</v>
      </c>
      <c r="K69" s="12">
        <f t="shared" si="2"/>
        <v>61.199553639999998</v>
      </c>
    </row>
    <row r="70" spans="1:12" x14ac:dyDescent="0.25">
      <c r="A70" s="11">
        <v>12</v>
      </c>
      <c r="B70" s="11" t="s">
        <v>89</v>
      </c>
      <c r="C70" s="12">
        <v>12.175309</v>
      </c>
      <c r="D70" s="12">
        <v>2.0935250000000001</v>
      </c>
      <c r="E70" s="12">
        <v>1.788961</v>
      </c>
      <c r="F70" s="12">
        <v>3.11</v>
      </c>
      <c r="G70" s="12">
        <v>61.215966039999998</v>
      </c>
      <c r="H70" s="12">
        <v>0.45</v>
      </c>
      <c r="I70" s="12">
        <v>1.9167280000000002</v>
      </c>
      <c r="J70" s="12">
        <v>0.108929</v>
      </c>
      <c r="K70" s="12">
        <f t="shared" si="2"/>
        <v>82.859418040000008</v>
      </c>
    </row>
    <row r="71" spans="1:12" x14ac:dyDescent="0.25">
      <c r="A71" s="13" t="s">
        <v>38</v>
      </c>
      <c r="B71" s="13"/>
      <c r="C71" s="14">
        <f>SUM(C59:C70)</f>
        <v>128.40473</v>
      </c>
      <c r="D71" s="14">
        <f t="shared" ref="D71:K71" si="3">SUM(D59:D70)</f>
        <v>22.473103999999999</v>
      </c>
      <c r="E71" s="14">
        <f t="shared" si="3"/>
        <v>23.362072000000001</v>
      </c>
      <c r="F71" s="14">
        <f t="shared" si="3"/>
        <v>32.446595000000002</v>
      </c>
      <c r="G71" s="14">
        <f t="shared" si="3"/>
        <v>557.87506069999995</v>
      </c>
      <c r="H71" s="14">
        <f t="shared" si="3"/>
        <v>6.29</v>
      </c>
      <c r="I71" s="14">
        <f t="shared" si="3"/>
        <v>26.056863999999997</v>
      </c>
      <c r="J71" s="14">
        <f t="shared" si="3"/>
        <v>2.092133</v>
      </c>
      <c r="K71" s="14">
        <f t="shared" si="3"/>
        <v>799.00055869999994</v>
      </c>
      <c r="L71" s="146"/>
    </row>
    <row r="72" spans="1:12" x14ac:dyDescent="0.25">
      <c r="A72" s="186"/>
      <c r="B72" s="186"/>
      <c r="C72" s="187"/>
      <c r="D72" s="187"/>
      <c r="E72" s="187"/>
      <c r="F72" s="187"/>
      <c r="G72" s="187"/>
      <c r="H72" s="187"/>
      <c r="I72" s="187"/>
      <c r="J72" s="187"/>
      <c r="K72" s="187"/>
      <c r="L72" s="146"/>
    </row>
    <row r="73" spans="1:12" x14ac:dyDescent="0.25">
      <c r="A73" s="405" t="s">
        <v>25</v>
      </c>
      <c r="B73" s="405"/>
      <c r="C73" s="405"/>
      <c r="D73" s="405"/>
      <c r="E73" s="405"/>
      <c r="F73" s="405"/>
      <c r="G73" s="405"/>
      <c r="H73" s="405"/>
      <c r="I73" s="405"/>
      <c r="J73" s="405"/>
      <c r="K73" s="405"/>
    </row>
    <row r="74" spans="1:12" x14ac:dyDescent="0.25">
      <c r="A74" s="405" t="s">
        <v>26</v>
      </c>
      <c r="B74" s="405"/>
      <c r="C74" s="405"/>
      <c r="D74" s="405"/>
      <c r="E74" s="405"/>
      <c r="F74" s="405"/>
      <c r="G74" s="405"/>
      <c r="H74" s="405"/>
      <c r="I74" s="405"/>
      <c r="J74" s="405"/>
      <c r="K74" s="405"/>
    </row>
    <row r="75" spans="1:12" x14ac:dyDescent="0.25">
      <c r="A75" s="405" t="s">
        <v>90</v>
      </c>
      <c r="B75" s="405"/>
      <c r="C75" s="405"/>
      <c r="D75" s="405"/>
      <c r="E75" s="405"/>
      <c r="F75" s="405"/>
      <c r="G75" s="405"/>
      <c r="H75" s="405"/>
      <c r="I75" s="405"/>
      <c r="J75" s="405"/>
      <c r="K75" s="405"/>
    </row>
    <row r="76" spans="1:12" x14ac:dyDescent="0.25">
      <c r="A76" s="11" t="s">
        <v>28</v>
      </c>
      <c r="B76" s="11" t="s">
        <v>29</v>
      </c>
      <c r="C76" s="11" t="s">
        <v>30</v>
      </c>
      <c r="D76" s="11" t="s">
        <v>31</v>
      </c>
      <c r="E76" s="11" t="s">
        <v>32</v>
      </c>
      <c r="F76" s="11" t="s">
        <v>33</v>
      </c>
      <c r="G76" s="11" t="s">
        <v>34</v>
      </c>
      <c r="H76" s="11" t="s">
        <v>144</v>
      </c>
      <c r="I76" s="11" t="s">
        <v>142</v>
      </c>
      <c r="J76" s="11" t="s">
        <v>37</v>
      </c>
      <c r="K76" s="11" t="s">
        <v>38</v>
      </c>
    </row>
    <row r="77" spans="1:12" x14ac:dyDescent="0.25">
      <c r="A77" s="11">
        <v>1</v>
      </c>
      <c r="B77" s="11" t="s">
        <v>91</v>
      </c>
      <c r="C77" s="12">
        <v>13.530972</v>
      </c>
      <c r="D77" s="12">
        <v>2.3232719999999998</v>
      </c>
      <c r="E77" s="12">
        <v>1.7224440000000001</v>
      </c>
      <c r="F77" s="12">
        <v>2.8906149999999999</v>
      </c>
      <c r="G77" s="12">
        <v>69.075569799999997</v>
      </c>
      <c r="H77" s="12">
        <v>0.44</v>
      </c>
      <c r="I77" s="12">
        <v>2.0344540000000002</v>
      </c>
      <c r="J77" s="12">
        <v>0.17669000000000001</v>
      </c>
      <c r="K77" s="12">
        <f>SUM(C77:J77)</f>
        <v>92.194016799999986</v>
      </c>
    </row>
    <row r="78" spans="1:12" x14ac:dyDescent="0.25">
      <c r="A78" s="11">
        <v>2</v>
      </c>
      <c r="B78" s="11" t="s">
        <v>92</v>
      </c>
      <c r="C78" s="12">
        <v>14.205189000000001</v>
      </c>
      <c r="D78" s="12">
        <v>2.48854</v>
      </c>
      <c r="E78" s="12">
        <v>1.6259030000000001</v>
      </c>
      <c r="F78" s="12">
        <v>2.2827169999999999</v>
      </c>
      <c r="G78" s="12">
        <v>15.861660879999999</v>
      </c>
      <c r="H78" s="12">
        <v>0.42</v>
      </c>
      <c r="I78" s="12">
        <v>1.8485369999999999</v>
      </c>
      <c r="J78" s="12">
        <v>0.159584</v>
      </c>
      <c r="K78" s="12">
        <f t="shared" ref="K78:K89" si="4">SUM(C78:J78)</f>
        <v>38.892130880000011</v>
      </c>
    </row>
    <row r="79" spans="1:12" x14ac:dyDescent="0.25">
      <c r="A79" s="11">
        <v>3</v>
      </c>
      <c r="B79" s="11" t="s">
        <v>93</v>
      </c>
      <c r="C79" s="12">
        <v>12.180949</v>
      </c>
      <c r="D79" s="12">
        <v>2.1408450000000001</v>
      </c>
      <c r="E79" s="12">
        <v>1.576727</v>
      </c>
      <c r="F79" s="12">
        <v>2.1483219999999998</v>
      </c>
      <c r="G79" s="12">
        <v>23.026017599999999</v>
      </c>
      <c r="H79" s="12">
        <v>0.42</v>
      </c>
      <c r="I79" s="12">
        <v>1.8932130000000003</v>
      </c>
      <c r="J79" s="12">
        <v>0.190058</v>
      </c>
      <c r="K79" s="12">
        <f t="shared" si="4"/>
        <v>43.576131600000004</v>
      </c>
    </row>
    <row r="80" spans="1:12" x14ac:dyDescent="0.25">
      <c r="A80" s="11">
        <v>4</v>
      </c>
      <c r="B80" s="11" t="s">
        <v>94</v>
      </c>
      <c r="C80" s="12">
        <v>12.166926999999999</v>
      </c>
      <c r="D80" s="12">
        <v>1.946347</v>
      </c>
      <c r="E80" s="12">
        <v>1.6754169999999999</v>
      </c>
      <c r="F80" s="12">
        <v>2.7757559999999999</v>
      </c>
      <c r="G80" s="12">
        <v>31.72361076</v>
      </c>
      <c r="H80" s="12">
        <v>0.78</v>
      </c>
      <c r="I80" s="12">
        <v>1.815863</v>
      </c>
      <c r="J80" s="12">
        <v>0.21141199999999999</v>
      </c>
      <c r="K80" s="12">
        <f t="shared" si="4"/>
        <v>53.095332760000005</v>
      </c>
    </row>
    <row r="81" spans="1:11" x14ac:dyDescent="0.25">
      <c r="A81" s="11">
        <v>5</v>
      </c>
      <c r="B81" s="11" t="s">
        <v>95</v>
      </c>
      <c r="C81" s="12">
        <v>12.563444</v>
      </c>
      <c r="D81" s="12">
        <v>1.981932</v>
      </c>
      <c r="E81" s="12">
        <v>1.662131</v>
      </c>
      <c r="F81" s="12">
        <v>2.7934369999999999</v>
      </c>
      <c r="G81" s="12">
        <v>47.585322640000001</v>
      </c>
      <c r="H81" s="12">
        <v>0.38</v>
      </c>
      <c r="I81" s="12">
        <v>1.7124839999999999</v>
      </c>
      <c r="J81" s="12">
        <v>0.22223000000000001</v>
      </c>
      <c r="K81" s="12">
        <f t="shared" si="4"/>
        <v>68.90098064</v>
      </c>
    </row>
    <row r="82" spans="1:11" x14ac:dyDescent="0.25">
      <c r="A82" s="11">
        <v>6</v>
      </c>
      <c r="B82" s="11" t="s">
        <v>96</v>
      </c>
      <c r="C82" s="12">
        <v>11.380452</v>
      </c>
      <c r="D82" s="12">
        <v>1.7768930000000001</v>
      </c>
      <c r="E82" s="12">
        <v>1.8768499999999999</v>
      </c>
      <c r="F82" s="12">
        <v>2.6146470000000002</v>
      </c>
      <c r="G82" s="12">
        <v>53.72540639999999</v>
      </c>
      <c r="H82" s="12">
        <v>0.37</v>
      </c>
      <c r="I82" s="12">
        <v>1.7060900000000001</v>
      </c>
      <c r="J82" s="12">
        <v>0.186833</v>
      </c>
      <c r="K82" s="12">
        <f t="shared" si="4"/>
        <v>73.637171399999986</v>
      </c>
    </row>
    <row r="83" spans="1:11" x14ac:dyDescent="0.25">
      <c r="A83" s="11">
        <v>7</v>
      </c>
      <c r="B83" s="11" t="s">
        <v>97</v>
      </c>
      <c r="C83" s="12">
        <v>11.586157999999999</v>
      </c>
      <c r="D83" s="12">
        <v>1.8489549999999999</v>
      </c>
      <c r="E83" s="12">
        <v>1.8498600000000001</v>
      </c>
      <c r="F83" s="12">
        <v>2.5204249999999999</v>
      </c>
      <c r="G83" s="12">
        <v>24.037473769999998</v>
      </c>
      <c r="H83" s="12">
        <v>0.41</v>
      </c>
      <c r="I83" s="12">
        <v>1.736572</v>
      </c>
      <c r="J83" s="12">
        <v>0.19433300000000001</v>
      </c>
      <c r="K83" s="12">
        <f t="shared" si="4"/>
        <v>44.183776770000001</v>
      </c>
    </row>
    <row r="84" spans="1:11" x14ac:dyDescent="0.25">
      <c r="A84" s="11">
        <v>8</v>
      </c>
      <c r="B84" s="11" t="s">
        <v>98</v>
      </c>
      <c r="C84" s="12">
        <v>9.9239029999999993</v>
      </c>
      <c r="D84" s="12">
        <v>1.946024</v>
      </c>
      <c r="E84" s="12">
        <v>2.13863</v>
      </c>
      <c r="F84" s="12">
        <v>2.893097</v>
      </c>
      <c r="G84" s="12">
        <v>15.508130399999999</v>
      </c>
      <c r="H84" s="12">
        <v>0.45</v>
      </c>
      <c r="I84" s="12">
        <v>1.744855</v>
      </c>
      <c r="J84" s="12">
        <v>0.195968</v>
      </c>
      <c r="K84" s="12">
        <f t="shared" si="4"/>
        <v>34.800607400000004</v>
      </c>
    </row>
    <row r="85" spans="1:11" x14ac:dyDescent="0.25">
      <c r="A85" s="11">
        <v>9</v>
      </c>
      <c r="B85" s="11" t="s">
        <v>99</v>
      </c>
      <c r="C85" s="12">
        <v>9.8662500000000009</v>
      </c>
      <c r="D85" s="12">
        <v>1.7745649999999999</v>
      </c>
      <c r="E85" s="12">
        <v>2.5559780000000001</v>
      </c>
      <c r="F85" s="12">
        <v>3.6761349999999999</v>
      </c>
      <c r="G85" s="12">
        <v>32.04962836</v>
      </c>
      <c r="H85" s="12">
        <v>0.37</v>
      </c>
      <c r="I85" s="12">
        <v>2.1728289999999997</v>
      </c>
      <c r="J85" s="12">
        <v>0.19003400000000001</v>
      </c>
      <c r="K85" s="12">
        <f t="shared" si="4"/>
        <v>52.655419359999996</v>
      </c>
    </row>
    <row r="86" spans="1:11" x14ac:dyDescent="0.25">
      <c r="A86" s="11">
        <v>10</v>
      </c>
      <c r="B86" s="11" t="s">
        <v>100</v>
      </c>
      <c r="C86" s="12">
        <v>9.4829509999999999</v>
      </c>
      <c r="D86" s="12">
        <v>1.771795</v>
      </c>
      <c r="E86" s="12">
        <v>3.0687229999999999</v>
      </c>
      <c r="F86" s="12">
        <v>2.9952390000000002</v>
      </c>
      <c r="G86" s="12">
        <v>80.123684900000001</v>
      </c>
      <c r="H86" s="12">
        <v>0.35</v>
      </c>
      <c r="I86" s="12">
        <v>1.4417369999999998</v>
      </c>
      <c r="J86" s="12">
        <v>0.17965999999999999</v>
      </c>
      <c r="K86" s="12">
        <f t="shared" si="4"/>
        <v>99.413789899999998</v>
      </c>
    </row>
    <row r="87" spans="1:11" x14ac:dyDescent="0.25">
      <c r="A87" s="11">
        <v>11</v>
      </c>
      <c r="B87" s="11" t="s">
        <v>101</v>
      </c>
      <c r="C87" s="12">
        <v>10.255636000000001</v>
      </c>
      <c r="D87" s="12">
        <v>1.8780300000000001</v>
      </c>
      <c r="E87" s="12">
        <v>2.7827999999999999</v>
      </c>
      <c r="F87" s="12">
        <v>3.0480879999999999</v>
      </c>
      <c r="G87" s="12">
        <v>68.751331739999998</v>
      </c>
      <c r="H87" s="12">
        <v>0.41</v>
      </c>
      <c r="I87" s="12">
        <v>1.4624860000000002</v>
      </c>
      <c r="J87" s="12">
        <v>0.20146700000000001</v>
      </c>
      <c r="K87" s="12">
        <f t="shared" si="4"/>
        <v>88.789838739999993</v>
      </c>
    </row>
    <row r="88" spans="1:11" x14ac:dyDescent="0.25">
      <c r="A88" s="11">
        <v>12</v>
      </c>
      <c r="B88" s="11" t="s">
        <v>102</v>
      </c>
      <c r="C88" s="12">
        <v>13.691601</v>
      </c>
      <c r="D88" s="12">
        <v>1.0187539999999999</v>
      </c>
      <c r="E88" s="12">
        <v>0.47059600000000001</v>
      </c>
      <c r="F88" s="12">
        <v>1.2849349999999999</v>
      </c>
      <c r="G88" s="12">
        <v>76.117382105000004</v>
      </c>
      <c r="H88" s="12">
        <v>0.12</v>
      </c>
      <c r="I88" s="12">
        <v>0.18612499999999998</v>
      </c>
      <c r="J88" s="12">
        <v>5.3610999999999999E-2</v>
      </c>
      <c r="K88" s="12">
        <f t="shared" si="4"/>
        <v>92.943004105000014</v>
      </c>
    </row>
    <row r="89" spans="1:11" x14ac:dyDescent="0.25">
      <c r="A89" s="13" t="s">
        <v>38</v>
      </c>
      <c r="B89" s="13"/>
      <c r="C89" s="14">
        <v>140.83443199999999</v>
      </c>
      <c r="D89" s="14">
        <v>22.895952000000001</v>
      </c>
      <c r="E89" s="14">
        <v>23.006059</v>
      </c>
      <c r="F89" s="14">
        <v>31.923413000000004</v>
      </c>
      <c r="G89" s="14">
        <v>537.58521935500005</v>
      </c>
      <c r="H89" s="14">
        <f>SUM(H77:H88)</f>
        <v>4.92</v>
      </c>
      <c r="I89" s="14">
        <f>SUM(I77:I88)</f>
        <v>19.755244999999999</v>
      </c>
      <c r="J89" s="14">
        <v>2.16188</v>
      </c>
      <c r="K89" s="14">
        <f t="shared" si="4"/>
        <v>783.08220035499994</v>
      </c>
    </row>
    <row r="91" spans="1:11" x14ac:dyDescent="0.25">
      <c r="A91" s="405" t="s">
        <v>25</v>
      </c>
      <c r="B91" s="405"/>
      <c r="C91" s="405"/>
      <c r="D91" s="405"/>
      <c r="E91" s="405"/>
      <c r="F91" s="405"/>
      <c r="G91" s="405"/>
      <c r="H91" s="405"/>
      <c r="I91" s="405"/>
      <c r="J91" s="405"/>
      <c r="K91" s="405"/>
    </row>
    <row r="92" spans="1:11" x14ac:dyDescent="0.25">
      <c r="A92" s="405" t="s">
        <v>26</v>
      </c>
      <c r="B92" s="405"/>
      <c r="C92" s="405"/>
      <c r="D92" s="405"/>
      <c r="E92" s="405"/>
      <c r="F92" s="405"/>
      <c r="G92" s="405"/>
      <c r="H92" s="405"/>
      <c r="I92" s="405"/>
      <c r="J92" s="405"/>
      <c r="K92" s="405"/>
    </row>
    <row r="93" spans="1:11" x14ac:dyDescent="0.25">
      <c r="A93" s="405" t="s">
        <v>103</v>
      </c>
      <c r="B93" s="405"/>
      <c r="C93" s="405"/>
      <c r="D93" s="405"/>
      <c r="E93" s="405"/>
      <c r="F93" s="405"/>
      <c r="G93" s="405"/>
      <c r="H93" s="405"/>
      <c r="I93" s="405"/>
      <c r="J93" s="405"/>
      <c r="K93" s="405"/>
    </row>
    <row r="94" spans="1:11" x14ac:dyDescent="0.25">
      <c r="A94" s="11" t="s">
        <v>28</v>
      </c>
      <c r="B94" s="11" t="s">
        <v>29</v>
      </c>
      <c r="C94" s="11" t="s">
        <v>30</v>
      </c>
      <c r="D94" s="11" t="s">
        <v>31</v>
      </c>
      <c r="E94" s="11" t="s">
        <v>32</v>
      </c>
      <c r="F94" s="11" t="s">
        <v>33</v>
      </c>
      <c r="G94" s="11" t="s">
        <v>34</v>
      </c>
      <c r="H94" s="11" t="s">
        <v>35</v>
      </c>
      <c r="I94" s="11" t="s">
        <v>142</v>
      </c>
      <c r="J94" s="11" t="s">
        <v>37</v>
      </c>
      <c r="K94" s="11" t="s">
        <v>38</v>
      </c>
    </row>
    <row r="95" spans="1:11" x14ac:dyDescent="0.25">
      <c r="A95" s="11">
        <v>1</v>
      </c>
      <c r="B95" s="11" t="s">
        <v>104</v>
      </c>
      <c r="C95" s="12">
        <v>13.694559</v>
      </c>
      <c r="D95" s="12">
        <v>2.6199720000000002</v>
      </c>
      <c r="E95" s="12">
        <v>3.0881270000000001</v>
      </c>
      <c r="F95" s="12">
        <v>1.288117</v>
      </c>
      <c r="G95" s="12">
        <v>70.848477900000006</v>
      </c>
      <c r="H95" s="12">
        <v>0.47</v>
      </c>
      <c r="I95" s="12">
        <v>0.92745300000000008</v>
      </c>
      <c r="J95" s="12">
        <v>0.16129099999999999</v>
      </c>
      <c r="K95" s="12">
        <f>SUM(C95:J95)</f>
        <v>93.097996900000012</v>
      </c>
    </row>
    <row r="96" spans="1:11" x14ac:dyDescent="0.25">
      <c r="A96" s="11">
        <v>2</v>
      </c>
      <c r="B96" s="11" t="s">
        <v>105</v>
      </c>
      <c r="C96" s="12">
        <v>13.691601</v>
      </c>
      <c r="D96" s="12">
        <v>1.0187539999999999</v>
      </c>
      <c r="E96" s="12">
        <v>0.47059600000000001</v>
      </c>
      <c r="F96" s="12">
        <v>1.2849349999999999</v>
      </c>
      <c r="G96" s="12">
        <v>20.336137175000005</v>
      </c>
      <c r="H96" s="12">
        <v>0.12</v>
      </c>
      <c r="I96" s="12">
        <v>0.18612400000000001</v>
      </c>
      <c r="J96" s="12">
        <v>5.3610999999999999E-2</v>
      </c>
      <c r="K96" s="12">
        <f t="shared" ref="K96:K107" si="5">SUM(C96:J96)</f>
        <v>37.161758174999996</v>
      </c>
    </row>
    <row r="97" spans="1:11" x14ac:dyDescent="0.25">
      <c r="A97" s="11">
        <v>3</v>
      </c>
      <c r="B97" s="11" t="s">
        <v>106</v>
      </c>
      <c r="C97" s="12">
        <v>13.260581999999999</v>
      </c>
      <c r="D97" s="12">
        <v>1.7157340000000001</v>
      </c>
      <c r="E97" s="12">
        <v>1.99377</v>
      </c>
      <c r="F97" s="12">
        <v>2.3555890000000002</v>
      </c>
      <c r="G97" s="12">
        <v>23.6161593</v>
      </c>
      <c r="H97" s="12">
        <v>0.32</v>
      </c>
      <c r="I97" s="12">
        <v>0.56796699999999989</v>
      </c>
      <c r="J97" s="12">
        <v>8.1665000000000001E-2</v>
      </c>
      <c r="K97" s="12">
        <f t="shared" si="5"/>
        <v>43.911466300000001</v>
      </c>
    </row>
    <row r="98" spans="1:11" x14ac:dyDescent="0.25">
      <c r="A98" s="11">
        <v>4</v>
      </c>
      <c r="B98" s="11" t="s">
        <v>107</v>
      </c>
      <c r="C98" s="12">
        <v>14.253788999999999</v>
      </c>
      <c r="D98" s="12">
        <v>1.669883</v>
      </c>
      <c r="E98" s="12">
        <v>2.5195820000000002</v>
      </c>
      <c r="F98" s="12">
        <v>2.5090699999999999</v>
      </c>
      <c r="G98" s="12">
        <v>52.873956655000008</v>
      </c>
      <c r="H98" s="12">
        <v>0.33</v>
      </c>
      <c r="I98" s="12">
        <v>0.70707299999999984</v>
      </c>
      <c r="J98" s="12">
        <v>8.3770999999999998E-2</v>
      </c>
      <c r="K98" s="12">
        <f t="shared" si="5"/>
        <v>74.947124654999996</v>
      </c>
    </row>
    <row r="99" spans="1:11" x14ac:dyDescent="0.25">
      <c r="A99" s="11">
        <v>5</v>
      </c>
      <c r="B99" s="11" t="s">
        <v>108</v>
      </c>
      <c r="C99" s="12">
        <v>13.450429</v>
      </c>
      <c r="D99" s="12">
        <v>1.5940179999999999</v>
      </c>
      <c r="E99" s="12">
        <v>2.4301080000000002</v>
      </c>
      <c r="F99" s="12">
        <v>2.2514799999999999</v>
      </c>
      <c r="G99" s="12">
        <v>50.840342937500004</v>
      </c>
      <c r="H99" s="12">
        <v>0.32</v>
      </c>
      <c r="I99" s="12">
        <v>0.73486399999999996</v>
      </c>
      <c r="J99" s="12">
        <v>8.1700999999999996E-2</v>
      </c>
      <c r="K99" s="12">
        <f t="shared" si="5"/>
        <v>71.702942937499998</v>
      </c>
    </row>
    <row r="100" spans="1:11" x14ac:dyDescent="0.25">
      <c r="A100" s="11">
        <v>6</v>
      </c>
      <c r="B100" s="11" t="s">
        <v>109</v>
      </c>
      <c r="C100" s="12">
        <v>13.848765</v>
      </c>
      <c r="D100" s="12">
        <v>1.9202410000000001</v>
      </c>
      <c r="E100" s="12">
        <v>2.8284220000000002</v>
      </c>
      <c r="F100" s="12">
        <v>2.581976</v>
      </c>
      <c r="G100" s="12">
        <v>47.232318599999999</v>
      </c>
      <c r="H100" s="12">
        <v>0.33</v>
      </c>
      <c r="I100" s="12">
        <v>0.71757099999999996</v>
      </c>
      <c r="J100" s="12">
        <v>8.6559999999999998E-2</v>
      </c>
      <c r="K100" s="12">
        <f t="shared" si="5"/>
        <v>69.545853600000015</v>
      </c>
    </row>
    <row r="101" spans="1:11" x14ac:dyDescent="0.25">
      <c r="A101" s="11">
        <v>7</v>
      </c>
      <c r="B101" s="11" t="s">
        <v>110</v>
      </c>
      <c r="C101" s="12">
        <v>13.220869</v>
      </c>
      <c r="D101" s="12">
        <v>1.8072889999999999</v>
      </c>
      <c r="E101" s="12">
        <v>3.2656890000000001</v>
      </c>
      <c r="F101" s="12">
        <v>0.27453899999999998</v>
      </c>
      <c r="G101" s="12">
        <v>28.953809815</v>
      </c>
      <c r="H101" s="12">
        <v>0.39</v>
      </c>
      <c r="I101" s="12">
        <v>0.87137300000000006</v>
      </c>
      <c r="J101" s="12">
        <v>9.9307000000000006E-2</v>
      </c>
      <c r="K101" s="12">
        <f t="shared" si="5"/>
        <v>48.882875815000006</v>
      </c>
    </row>
    <row r="102" spans="1:11" x14ac:dyDescent="0.25">
      <c r="A102" s="11">
        <v>8</v>
      </c>
      <c r="B102" s="11" t="s">
        <v>111</v>
      </c>
      <c r="C102" s="12">
        <v>10.715203000000001</v>
      </c>
      <c r="D102" s="12">
        <v>1.705185</v>
      </c>
      <c r="E102" s="12">
        <v>3.2629570000000001</v>
      </c>
      <c r="F102" s="12">
        <v>2.6774360000000001</v>
      </c>
      <c r="G102" s="12">
        <v>20.014154250000001</v>
      </c>
      <c r="H102" s="12">
        <v>0.38</v>
      </c>
      <c r="I102" s="12">
        <v>0.86672899999999997</v>
      </c>
      <c r="J102" s="12">
        <v>8.4093000000000001E-2</v>
      </c>
      <c r="K102" s="12">
        <f t="shared" si="5"/>
        <v>39.705757250000012</v>
      </c>
    </row>
    <row r="103" spans="1:11" x14ac:dyDescent="0.25">
      <c r="A103" s="11">
        <v>9</v>
      </c>
      <c r="B103" s="11" t="s">
        <v>112</v>
      </c>
      <c r="C103" s="12">
        <v>10.359465999999999</v>
      </c>
      <c r="D103" s="12">
        <v>1.767757</v>
      </c>
      <c r="E103" s="12">
        <v>3.452677</v>
      </c>
      <c r="F103" s="12">
        <v>3.0577100000000002</v>
      </c>
      <c r="G103" s="12">
        <v>37.226326905000001</v>
      </c>
      <c r="H103" s="12">
        <v>0.42</v>
      </c>
      <c r="I103" s="12">
        <v>0.94106200000000007</v>
      </c>
      <c r="J103" s="12">
        <v>9.1877E-2</v>
      </c>
      <c r="K103" s="12">
        <f t="shared" si="5"/>
        <v>57.316875905000003</v>
      </c>
    </row>
    <row r="104" spans="1:11" x14ac:dyDescent="0.25">
      <c r="A104" s="11">
        <v>10</v>
      </c>
      <c r="B104" s="11" t="s">
        <v>113</v>
      </c>
      <c r="C104" s="12">
        <v>10.998422</v>
      </c>
      <c r="D104" s="12">
        <v>1.7970600000000001</v>
      </c>
      <c r="E104" s="12">
        <v>2.239417</v>
      </c>
      <c r="F104" s="12">
        <v>2.700037</v>
      </c>
      <c r="G104" s="12">
        <v>82.725170900000009</v>
      </c>
      <c r="H104" s="12">
        <v>0.43</v>
      </c>
      <c r="I104" s="12">
        <v>0.95591599999999999</v>
      </c>
      <c r="J104" s="12">
        <v>0.109011</v>
      </c>
      <c r="K104" s="12">
        <f t="shared" si="5"/>
        <v>101.9550339</v>
      </c>
    </row>
    <row r="105" spans="1:11" x14ac:dyDescent="0.25">
      <c r="A105" s="11">
        <v>11</v>
      </c>
      <c r="B105" s="11" t="s">
        <v>114</v>
      </c>
      <c r="C105" s="12">
        <v>10.34887</v>
      </c>
      <c r="D105" s="12">
        <v>1.877175</v>
      </c>
      <c r="E105" s="12">
        <v>2.8057249999999998</v>
      </c>
      <c r="F105" s="12">
        <v>2.6042320000000001</v>
      </c>
      <c r="G105" s="12">
        <v>74.719509200000005</v>
      </c>
      <c r="H105" s="12">
        <v>0.39</v>
      </c>
      <c r="I105" s="12">
        <v>0.90373000000000003</v>
      </c>
      <c r="J105" s="12">
        <v>0.14271800000000001</v>
      </c>
      <c r="K105" s="12">
        <f t="shared" si="5"/>
        <v>93.791959199999994</v>
      </c>
    </row>
    <row r="106" spans="1:11" x14ac:dyDescent="0.25">
      <c r="A106" s="11">
        <v>12</v>
      </c>
      <c r="B106" s="11" t="s">
        <v>115</v>
      </c>
      <c r="C106" s="12">
        <v>13.662291</v>
      </c>
      <c r="D106" s="12">
        <v>2.1828460000000001</v>
      </c>
      <c r="E106" s="12">
        <v>1.998367</v>
      </c>
      <c r="F106" s="12">
        <v>2.058999</v>
      </c>
      <c r="G106" s="12">
        <v>86.861429445000013</v>
      </c>
      <c r="H106" s="12">
        <v>0.43</v>
      </c>
      <c r="I106" s="12">
        <v>1.030751</v>
      </c>
      <c r="J106" s="12">
        <v>0.16608400000000001</v>
      </c>
      <c r="K106" s="12">
        <f t="shared" si="5"/>
        <v>108.39076744500001</v>
      </c>
    </row>
    <row r="107" spans="1:11" x14ac:dyDescent="0.25">
      <c r="A107" s="13" t="s">
        <v>38</v>
      </c>
      <c r="B107" s="13"/>
      <c r="C107" s="14">
        <v>151.50484600000001</v>
      </c>
      <c r="D107" s="14">
        <v>21.675914000000002</v>
      </c>
      <c r="E107" s="14">
        <v>30.355437000000002</v>
      </c>
      <c r="F107" s="14">
        <v>25.644120000000004</v>
      </c>
      <c r="G107" s="14">
        <v>596.24779308250004</v>
      </c>
      <c r="H107" s="14">
        <f>SUM(H95:H106)</f>
        <v>4.33</v>
      </c>
      <c r="I107" s="14">
        <f>SUM(I95:I106)</f>
        <v>9.4106129999999997</v>
      </c>
      <c r="J107" s="14">
        <v>1.241689</v>
      </c>
      <c r="K107" s="14">
        <f t="shared" si="5"/>
        <v>840.4104120825001</v>
      </c>
    </row>
    <row r="108" spans="1:11" x14ac:dyDescent="0.25">
      <c r="C108" s="146"/>
      <c r="D108" s="146"/>
      <c r="E108" s="146"/>
      <c r="F108" s="146"/>
      <c r="G108" s="146"/>
      <c r="H108" s="146"/>
      <c r="I108" s="146"/>
      <c r="J108" s="146"/>
      <c r="K108" s="146"/>
    </row>
    <row r="109" spans="1:11" x14ac:dyDescent="0.25">
      <c r="C109" s="146"/>
      <c r="D109" s="146"/>
      <c r="E109" s="146"/>
      <c r="F109" s="146"/>
      <c r="G109" s="146"/>
      <c r="H109" s="146"/>
      <c r="I109" s="146"/>
      <c r="J109" s="146"/>
      <c r="K109" s="146"/>
    </row>
    <row r="110" spans="1:11" x14ac:dyDescent="0.25">
      <c r="A110" s="405" t="s">
        <v>25</v>
      </c>
      <c r="B110" s="405"/>
      <c r="C110" s="405"/>
      <c r="D110" s="405"/>
      <c r="E110" s="405"/>
      <c r="F110" s="405"/>
      <c r="G110" s="405"/>
      <c r="H110" s="405"/>
      <c r="I110" s="405"/>
      <c r="J110" s="405"/>
      <c r="K110" s="405"/>
    </row>
    <row r="111" spans="1:11" x14ac:dyDescent="0.25">
      <c r="A111" s="405" t="s">
        <v>26</v>
      </c>
      <c r="B111" s="405"/>
      <c r="C111" s="405"/>
      <c r="D111" s="405"/>
      <c r="E111" s="405"/>
      <c r="F111" s="405"/>
      <c r="G111" s="405"/>
      <c r="H111" s="405"/>
      <c r="I111" s="405"/>
      <c r="J111" s="405"/>
      <c r="K111" s="405"/>
    </row>
    <row r="112" spans="1:11" x14ac:dyDescent="0.25">
      <c r="A112" s="405" t="s">
        <v>116</v>
      </c>
      <c r="B112" s="405"/>
      <c r="C112" s="405"/>
      <c r="D112" s="405"/>
      <c r="E112" s="405"/>
      <c r="F112" s="405"/>
      <c r="G112" s="405"/>
      <c r="H112" s="405"/>
      <c r="I112" s="405"/>
      <c r="J112" s="405"/>
      <c r="K112" s="405"/>
    </row>
    <row r="113" spans="1:11" x14ac:dyDescent="0.25">
      <c r="A113" s="11" t="s">
        <v>28</v>
      </c>
      <c r="B113" s="11" t="s">
        <v>29</v>
      </c>
      <c r="C113" s="11" t="s">
        <v>30</v>
      </c>
      <c r="D113" s="11" t="s">
        <v>31</v>
      </c>
      <c r="E113" s="11" t="s">
        <v>32</v>
      </c>
      <c r="F113" s="11" t="s">
        <v>33</v>
      </c>
      <c r="G113" s="11" t="s">
        <v>117</v>
      </c>
      <c r="H113" s="11" t="s">
        <v>35</v>
      </c>
      <c r="I113" s="11" t="s">
        <v>36</v>
      </c>
      <c r="J113" s="11" t="s">
        <v>37</v>
      </c>
      <c r="K113" s="11" t="s">
        <v>38</v>
      </c>
    </row>
    <row r="114" spans="1:11" x14ac:dyDescent="0.25">
      <c r="A114" s="11">
        <v>1</v>
      </c>
      <c r="B114" s="11" t="s">
        <v>118</v>
      </c>
      <c r="C114" s="12">
        <v>15.660660999999999</v>
      </c>
      <c r="D114" s="12">
        <v>2.1175739999999998</v>
      </c>
      <c r="E114" s="12">
        <v>2.010821</v>
      </c>
      <c r="F114" s="12">
        <v>1.7912159999999999</v>
      </c>
      <c r="G114" s="12">
        <v>95.570684775000004</v>
      </c>
      <c r="H114" s="12">
        <v>0.38273099999999999</v>
      </c>
      <c r="I114" s="12">
        <v>1.236737</v>
      </c>
      <c r="J114" s="12">
        <v>0.11110399999999999</v>
      </c>
      <c r="K114" s="12">
        <v>118.88152877500001</v>
      </c>
    </row>
    <row r="115" spans="1:11" x14ac:dyDescent="0.25">
      <c r="A115" s="11">
        <v>2</v>
      </c>
      <c r="B115" s="11" t="s">
        <v>119</v>
      </c>
      <c r="C115" s="12">
        <v>16.011136</v>
      </c>
      <c r="D115" s="12">
        <v>1.9951909999999999</v>
      </c>
      <c r="E115" s="12">
        <v>2.134738</v>
      </c>
      <c r="F115" s="12">
        <v>2.0046379999999999</v>
      </c>
      <c r="G115" s="12">
        <v>21.011994525000002</v>
      </c>
      <c r="H115" s="12">
        <v>0.36815100000000001</v>
      </c>
      <c r="I115" s="12">
        <v>1.060662</v>
      </c>
      <c r="J115" s="12">
        <v>9.4548999999999994E-2</v>
      </c>
      <c r="K115" s="12">
        <v>44.681059525000002</v>
      </c>
    </row>
    <row r="116" spans="1:11" x14ac:dyDescent="0.25">
      <c r="A116" s="11">
        <v>3</v>
      </c>
      <c r="B116" s="11" t="s">
        <v>120</v>
      </c>
      <c r="C116" s="12">
        <v>14.097707</v>
      </c>
      <c r="D116" s="12">
        <v>2.1313339999999998</v>
      </c>
      <c r="E116" s="12">
        <v>2.4706000000000001</v>
      </c>
      <c r="F116" s="12">
        <v>2.0330379999999999</v>
      </c>
      <c r="G116" s="12">
        <v>20.33418825</v>
      </c>
      <c r="H116" s="12">
        <v>0.337202</v>
      </c>
      <c r="I116" s="12">
        <v>0.912636</v>
      </c>
      <c r="J116" s="12">
        <v>9.2107999999999995E-2</v>
      </c>
      <c r="K116" s="12">
        <v>42.408813250000001</v>
      </c>
    </row>
    <row r="117" spans="1:11" x14ac:dyDescent="0.25">
      <c r="A117" s="11">
        <v>4</v>
      </c>
      <c r="B117" s="11" t="s">
        <v>121</v>
      </c>
      <c r="C117" s="12">
        <v>13.695497</v>
      </c>
      <c r="D117" s="12">
        <v>2.2408049999999999</v>
      </c>
      <c r="E117" s="12">
        <v>2.853037</v>
      </c>
      <c r="F117" s="12">
        <v>2.1118399999999999</v>
      </c>
      <c r="G117" s="12">
        <v>48.327587407500005</v>
      </c>
      <c r="H117" s="12">
        <v>0.36962</v>
      </c>
      <c r="I117" s="12">
        <v>0.92213299999999998</v>
      </c>
      <c r="J117" s="12">
        <v>0.107892</v>
      </c>
      <c r="K117" s="12">
        <v>70.62841140750001</v>
      </c>
    </row>
    <row r="118" spans="1:11" x14ac:dyDescent="0.25">
      <c r="A118" s="11">
        <v>5</v>
      </c>
      <c r="B118" s="11" t="s">
        <v>122</v>
      </c>
      <c r="C118" s="12">
        <v>14.444977</v>
      </c>
      <c r="D118" s="12">
        <v>2.2462260000000001</v>
      </c>
      <c r="E118" s="12">
        <v>2.6606830000000001</v>
      </c>
      <c r="F118" s="12">
        <v>2.214572</v>
      </c>
      <c r="G118" s="12">
        <v>63.035983575000003</v>
      </c>
      <c r="H118" s="12">
        <v>0.39669900000000002</v>
      </c>
      <c r="I118" s="12">
        <v>1.0527310000000001</v>
      </c>
      <c r="J118" s="12">
        <v>0.118256</v>
      </c>
      <c r="K118" s="12">
        <v>86.170127574999995</v>
      </c>
    </row>
    <row r="119" spans="1:11" x14ac:dyDescent="0.25">
      <c r="A119" s="11">
        <v>6</v>
      </c>
      <c r="B119" s="11" t="s">
        <v>123</v>
      </c>
      <c r="C119" s="12">
        <v>13.544601999999999</v>
      </c>
      <c r="D119" s="12">
        <v>2.202566</v>
      </c>
      <c r="E119" s="12">
        <v>2.637607</v>
      </c>
      <c r="F119" s="12">
        <v>2.1197509999999999</v>
      </c>
      <c r="G119" s="12">
        <v>40.668376500000001</v>
      </c>
      <c r="H119" s="12">
        <v>0.38643100000000002</v>
      </c>
      <c r="I119" s="12">
        <v>0.99094000000000004</v>
      </c>
      <c r="J119" s="12">
        <v>0.11895</v>
      </c>
      <c r="K119" s="12">
        <v>62.669223500000001</v>
      </c>
    </row>
    <row r="120" spans="1:11" x14ac:dyDescent="0.25">
      <c r="A120" s="11">
        <v>7</v>
      </c>
      <c r="B120" s="11" t="s">
        <v>124</v>
      </c>
      <c r="C120" s="12">
        <v>13.176952</v>
      </c>
      <c r="D120" s="12">
        <v>2.1853389999999999</v>
      </c>
      <c r="E120" s="12">
        <v>2.7833770000000002</v>
      </c>
      <c r="F120" s="12">
        <v>2.106366</v>
      </c>
      <c r="G120" s="12">
        <v>33.896703240000001</v>
      </c>
      <c r="H120" s="12">
        <v>0.46503499999999998</v>
      </c>
      <c r="I120" s="12">
        <v>1.056573</v>
      </c>
      <c r="J120" s="12">
        <v>0.159668</v>
      </c>
      <c r="K120" s="12">
        <v>55.830013240000007</v>
      </c>
    </row>
    <row r="121" spans="1:11" x14ac:dyDescent="0.25">
      <c r="A121" s="11">
        <v>8</v>
      </c>
      <c r="B121" s="11" t="s">
        <v>125</v>
      </c>
      <c r="C121" s="12">
        <v>11.594938000000001</v>
      </c>
      <c r="D121" s="12">
        <v>2.1752669999999998</v>
      </c>
      <c r="E121" s="12">
        <v>3.1374430000000002</v>
      </c>
      <c r="F121" s="12">
        <v>2.2555100000000001</v>
      </c>
      <c r="G121" s="12">
        <v>15.171508305000001</v>
      </c>
      <c r="H121" s="12">
        <v>0.48242000000000002</v>
      </c>
      <c r="I121" s="12">
        <v>1.023296</v>
      </c>
      <c r="J121" s="12">
        <v>0.208643</v>
      </c>
      <c r="K121" s="12">
        <v>36.049025305000008</v>
      </c>
    </row>
    <row r="122" spans="1:11" x14ac:dyDescent="0.25">
      <c r="A122" s="11">
        <v>9</v>
      </c>
      <c r="B122" s="11" t="s">
        <v>126</v>
      </c>
      <c r="C122" s="12">
        <v>10.359465999999999</v>
      </c>
      <c r="D122" s="12">
        <v>1.767757</v>
      </c>
      <c r="E122" s="12">
        <v>3.452677</v>
      </c>
      <c r="F122" s="12">
        <v>3.0577100000000002</v>
      </c>
      <c r="G122" s="12">
        <v>42.370879050000006</v>
      </c>
      <c r="H122" s="12">
        <v>0.42410999999999999</v>
      </c>
      <c r="I122" s="12">
        <v>0.93695200000000001</v>
      </c>
      <c r="J122" s="12">
        <v>9.1877E-2</v>
      </c>
      <c r="K122" s="12">
        <v>62.461428050000002</v>
      </c>
    </row>
    <row r="123" spans="1:11" x14ac:dyDescent="0.25">
      <c r="A123" s="11">
        <v>10</v>
      </c>
      <c r="B123" s="11" t="s">
        <v>113</v>
      </c>
      <c r="C123" s="12">
        <v>10.998422</v>
      </c>
      <c r="D123" s="12">
        <v>1.7970600000000001</v>
      </c>
      <c r="E123" s="12">
        <v>2.239417</v>
      </c>
      <c r="F123" s="12">
        <v>2.700037</v>
      </c>
      <c r="G123" s="12">
        <v>84.741758100000013</v>
      </c>
      <c r="H123" s="12">
        <v>0.43431399999999998</v>
      </c>
      <c r="I123" s="12">
        <v>0.95160199999999995</v>
      </c>
      <c r="J123" s="12">
        <v>0.109011</v>
      </c>
      <c r="K123" s="12">
        <v>103.97162109999999</v>
      </c>
    </row>
    <row r="124" spans="1:11" x14ac:dyDescent="0.25">
      <c r="A124" s="11">
        <v>11</v>
      </c>
      <c r="B124" s="11" t="s">
        <v>114</v>
      </c>
      <c r="C124" s="12">
        <v>10.34887</v>
      </c>
      <c r="D124" s="12">
        <v>1.877175</v>
      </c>
      <c r="E124" s="12">
        <v>2.8057249999999998</v>
      </c>
      <c r="F124" s="12">
        <v>2.6042320000000001</v>
      </c>
      <c r="G124" s="12">
        <v>76.540942799999996</v>
      </c>
      <c r="H124" s="12">
        <v>0.38803799999999999</v>
      </c>
      <c r="I124" s="12">
        <v>0.90569200000000005</v>
      </c>
      <c r="J124" s="12">
        <v>0.14271800000000001</v>
      </c>
      <c r="K124" s="12">
        <v>95.6133928</v>
      </c>
    </row>
    <row r="125" spans="1:11" x14ac:dyDescent="0.25">
      <c r="A125" s="11">
        <v>12</v>
      </c>
      <c r="B125" s="11" t="s">
        <v>115</v>
      </c>
      <c r="C125" s="12">
        <v>13.662291</v>
      </c>
      <c r="D125" s="12">
        <v>2.1828460000000001</v>
      </c>
      <c r="E125" s="12">
        <v>1.998367</v>
      </c>
      <c r="F125" s="12">
        <v>2.058999</v>
      </c>
      <c r="G125" s="12">
        <v>88.978846005000008</v>
      </c>
      <c r="H125" s="12">
        <v>0.42751099999999997</v>
      </c>
      <c r="I125" s="12">
        <v>1.0332399999999999</v>
      </c>
      <c r="J125" s="12">
        <v>0.16608400000000001</v>
      </c>
      <c r="K125" s="12">
        <v>110.508184005</v>
      </c>
    </row>
    <row r="126" spans="1:11" x14ac:dyDescent="0.25">
      <c r="A126" s="13" t="s">
        <v>38</v>
      </c>
      <c r="B126" s="13"/>
      <c r="C126" s="14">
        <v>157.595519</v>
      </c>
      <c r="D126" s="14">
        <v>24.919140000000002</v>
      </c>
      <c r="E126" s="14">
        <v>31.184492000000006</v>
      </c>
      <c r="F126" s="14">
        <v>27.057908999999999</v>
      </c>
      <c r="G126" s="14">
        <v>630.64945253250005</v>
      </c>
      <c r="H126" s="14">
        <v>4.8622619999999994</v>
      </c>
      <c r="I126" s="14">
        <v>12.083193999999999</v>
      </c>
      <c r="J126" s="14">
        <v>1.5208599999999999</v>
      </c>
      <c r="K126" s="14">
        <v>889.87282853250008</v>
      </c>
    </row>
    <row r="127" spans="1:11" x14ac:dyDescent="0.25">
      <c r="C127" s="146"/>
      <c r="D127" s="146"/>
      <c r="E127" s="146"/>
      <c r="F127" s="146"/>
      <c r="G127" s="146"/>
      <c r="H127" s="146"/>
      <c r="I127" s="146"/>
      <c r="J127" s="146"/>
      <c r="K127" s="146"/>
    </row>
    <row r="128" spans="1:11" x14ac:dyDescent="0.25">
      <c r="A128" s="405" t="s">
        <v>25</v>
      </c>
      <c r="B128" s="405"/>
      <c r="C128" s="405"/>
      <c r="D128" s="405"/>
      <c r="E128" s="405"/>
      <c r="F128" s="405"/>
      <c r="G128" s="405"/>
      <c r="H128" s="405"/>
      <c r="I128" s="405"/>
      <c r="J128" s="405"/>
      <c r="K128" s="405"/>
    </row>
    <row r="129" spans="1:12" x14ac:dyDescent="0.25">
      <c r="A129" s="405" t="s">
        <v>26</v>
      </c>
      <c r="B129" s="405"/>
      <c r="C129" s="405"/>
      <c r="D129" s="405"/>
      <c r="E129" s="405"/>
      <c r="F129" s="405"/>
      <c r="G129" s="405"/>
      <c r="H129" s="405"/>
      <c r="I129" s="405"/>
      <c r="J129" s="405"/>
      <c r="K129" s="405"/>
    </row>
    <row r="130" spans="1:12" x14ac:dyDescent="0.25">
      <c r="A130" s="405" t="s">
        <v>127</v>
      </c>
      <c r="B130" s="405"/>
      <c r="C130" s="405"/>
      <c r="D130" s="405"/>
      <c r="E130" s="405"/>
      <c r="F130" s="405"/>
      <c r="G130" s="405"/>
      <c r="H130" s="405"/>
      <c r="I130" s="405"/>
      <c r="J130" s="405"/>
      <c r="K130" s="405"/>
    </row>
    <row r="131" spans="1:12" x14ac:dyDescent="0.25">
      <c r="A131" s="11" t="s">
        <v>28</v>
      </c>
      <c r="B131" s="11" t="s">
        <v>29</v>
      </c>
      <c r="C131" s="11" t="s">
        <v>30</v>
      </c>
      <c r="D131" s="11" t="s">
        <v>31</v>
      </c>
      <c r="E131" s="11" t="s">
        <v>32</v>
      </c>
      <c r="F131" s="11" t="s">
        <v>128</v>
      </c>
      <c r="G131" s="11" t="s">
        <v>33</v>
      </c>
      <c r="H131" s="11" t="s">
        <v>117</v>
      </c>
      <c r="I131" s="11" t="s">
        <v>35</v>
      </c>
      <c r="J131" s="11" t="s">
        <v>36</v>
      </c>
      <c r="K131" s="11" t="s">
        <v>37</v>
      </c>
      <c r="L131" s="169" t="s">
        <v>38</v>
      </c>
    </row>
    <row r="132" spans="1:12" x14ac:dyDescent="0.25">
      <c r="A132" s="11">
        <v>1</v>
      </c>
      <c r="B132" s="11" t="s">
        <v>129</v>
      </c>
      <c r="C132" s="12">
        <v>16.504435000000001</v>
      </c>
      <c r="D132" s="12">
        <v>2.2224560000000002</v>
      </c>
      <c r="E132" s="12">
        <v>0.76636899999999997</v>
      </c>
      <c r="F132" s="12">
        <v>1.35188</v>
      </c>
      <c r="G132" s="12">
        <v>1.8126610000000001</v>
      </c>
      <c r="H132" s="12">
        <v>96.359579775</v>
      </c>
      <c r="I132" s="12">
        <v>0.40141199999999999</v>
      </c>
      <c r="J132" s="12">
        <v>1.299696</v>
      </c>
      <c r="K132" s="12">
        <v>0.11748599999999999</v>
      </c>
      <c r="L132" s="170">
        <f>SUM(C132:K132)</f>
        <v>120.835974775</v>
      </c>
    </row>
    <row r="133" spans="1:12" x14ac:dyDescent="0.25">
      <c r="A133" s="11">
        <v>2</v>
      </c>
      <c r="B133" s="11" t="s">
        <v>130</v>
      </c>
      <c r="C133" s="12">
        <v>16.837586000000002</v>
      </c>
      <c r="D133" s="12">
        <v>2.0950669999999998</v>
      </c>
      <c r="E133" s="12">
        <v>0.80694699999999997</v>
      </c>
      <c r="F133" s="12">
        <v>1.4346859999999999</v>
      </c>
      <c r="G133" s="12">
        <v>2.0777350000000001</v>
      </c>
      <c r="H133" s="12">
        <v>21.185439525000003</v>
      </c>
      <c r="I133" s="12">
        <v>0.38769900000000002</v>
      </c>
      <c r="J133" s="12">
        <v>1.1133930000000001</v>
      </c>
      <c r="K133" s="12">
        <v>9.9409999999999998E-2</v>
      </c>
      <c r="L133" s="170">
        <f t="shared" ref="L133:L144" si="6">SUM(C133:K133)</f>
        <v>46.037962525000005</v>
      </c>
    </row>
    <row r="134" spans="1:12" x14ac:dyDescent="0.25">
      <c r="A134" s="11">
        <v>3</v>
      </c>
      <c r="B134" s="11" t="s">
        <v>131</v>
      </c>
      <c r="C134" s="12">
        <v>15.033486999999999</v>
      </c>
      <c r="D134" s="12">
        <v>2.2390300000000001</v>
      </c>
      <c r="E134" s="12">
        <v>0.93365299999999996</v>
      </c>
      <c r="F134" s="12">
        <v>1.659942</v>
      </c>
      <c r="G134" s="12">
        <v>2.0347270000000002</v>
      </c>
      <c r="H134" s="12">
        <v>20.502038249999998</v>
      </c>
      <c r="I134" s="12">
        <v>0.354628</v>
      </c>
      <c r="J134" s="12">
        <v>0.95726599999999995</v>
      </c>
      <c r="K134" s="12">
        <v>9.7349000000000005E-2</v>
      </c>
      <c r="L134" s="170">
        <f t="shared" si="6"/>
        <v>43.81212025</v>
      </c>
    </row>
    <row r="135" spans="1:12" x14ac:dyDescent="0.25">
      <c r="A135" s="11">
        <v>4</v>
      </c>
      <c r="B135" s="11" t="s">
        <v>132</v>
      </c>
      <c r="C135" s="12">
        <v>14.382034110200001</v>
      </c>
      <c r="D135" s="12">
        <v>2.3532959999999998</v>
      </c>
      <c r="E135" s="12">
        <v>1.0780970000000001</v>
      </c>
      <c r="F135" s="12">
        <v>1.91673</v>
      </c>
      <c r="G135" s="12">
        <v>2.2174830000000001</v>
      </c>
      <c r="H135" s="12">
        <v>48.726510907500007</v>
      </c>
      <c r="I135" s="12">
        <v>0.38870300000000002</v>
      </c>
      <c r="J135" s="12">
        <v>0.96707500000000002</v>
      </c>
      <c r="K135" s="12">
        <v>0.112396</v>
      </c>
      <c r="L135" s="170">
        <f t="shared" si="6"/>
        <v>72.142325017700017</v>
      </c>
    </row>
    <row r="136" spans="1:12" x14ac:dyDescent="0.25">
      <c r="A136" s="11">
        <v>5</v>
      </c>
      <c r="B136" s="11" t="s">
        <v>133</v>
      </c>
      <c r="C136" s="12">
        <v>15.776912920499999</v>
      </c>
      <c r="D136" s="12">
        <v>2.238642</v>
      </c>
      <c r="E136" s="12">
        <v>1.0055769999999999</v>
      </c>
      <c r="F136" s="12">
        <v>1.7878069999999999</v>
      </c>
      <c r="G136" s="12">
        <v>1.9817260000000001</v>
      </c>
      <c r="H136" s="12">
        <v>63.556318575000006</v>
      </c>
      <c r="I136" s="12">
        <v>0.41537299999999999</v>
      </c>
      <c r="J136" s="12">
        <v>1.105234</v>
      </c>
      <c r="K136" s="12">
        <v>0.12388299999999999</v>
      </c>
      <c r="L136" s="170">
        <f t="shared" si="6"/>
        <v>87.991473495500017</v>
      </c>
    </row>
    <row r="137" spans="1:12" x14ac:dyDescent="0.25">
      <c r="A137" s="11">
        <v>6</v>
      </c>
      <c r="B137" s="11" t="s">
        <v>134</v>
      </c>
      <c r="C137" s="12">
        <v>14.22335</v>
      </c>
      <c r="D137" s="12">
        <v>2.3124199999999999</v>
      </c>
      <c r="E137" s="12">
        <v>0.99707199999999996</v>
      </c>
      <c r="F137" s="12">
        <v>1.772686</v>
      </c>
      <c r="G137" s="12">
        <v>2.2246359999999998</v>
      </c>
      <c r="H137" s="12">
        <v>41.004076499999996</v>
      </c>
      <c r="I137" s="12">
        <v>0.40657900000000002</v>
      </c>
      <c r="J137" s="12">
        <v>1.0395490000000001</v>
      </c>
      <c r="K137" s="12">
        <v>0.12474499999999999</v>
      </c>
      <c r="L137" s="170">
        <f t="shared" si="6"/>
        <v>64.105113500000002</v>
      </c>
    </row>
    <row r="138" spans="1:12" x14ac:dyDescent="0.25">
      <c r="A138" s="11">
        <v>7</v>
      </c>
      <c r="B138" s="11" t="s">
        <v>135</v>
      </c>
      <c r="C138" s="12">
        <v>12.718538000000001</v>
      </c>
      <c r="D138" s="12">
        <v>2.0841829999999999</v>
      </c>
      <c r="E138" s="12">
        <v>0.95589800000000003</v>
      </c>
      <c r="F138" s="12">
        <v>1.6994880000000001</v>
      </c>
      <c r="G138" s="12">
        <v>1.883297</v>
      </c>
      <c r="H138" s="12">
        <v>35.284263240000001</v>
      </c>
      <c r="I138" s="12">
        <v>0.44362099999999999</v>
      </c>
      <c r="J138" s="12">
        <v>1.00861</v>
      </c>
      <c r="K138" s="12">
        <v>0.13189500000000001</v>
      </c>
      <c r="L138" s="170">
        <f t="shared" si="6"/>
        <v>56.209793239999996</v>
      </c>
    </row>
    <row r="139" spans="1:12" x14ac:dyDescent="0.25">
      <c r="A139" s="11">
        <v>8</v>
      </c>
      <c r="B139" s="11" t="s">
        <v>136</v>
      </c>
      <c r="C139" s="12">
        <v>11.491822000000001</v>
      </c>
      <c r="D139" s="12">
        <v>2.154458</v>
      </c>
      <c r="E139" s="12">
        <v>1.1186830000000001</v>
      </c>
      <c r="F139" s="12">
        <v>2.0407950000000001</v>
      </c>
      <c r="G139" s="12">
        <v>2.2248209999999999</v>
      </c>
      <c r="H139" s="12">
        <v>21.341288250000002</v>
      </c>
      <c r="I139" s="12">
        <v>0.47761900000000002</v>
      </c>
      <c r="J139" s="12">
        <v>1.0131319999999999</v>
      </c>
      <c r="K139" s="12">
        <v>0.15484999999999999</v>
      </c>
      <c r="L139" s="170">
        <f t="shared" si="6"/>
        <v>42.01746825</v>
      </c>
    </row>
    <row r="140" spans="1:12" x14ac:dyDescent="0.25">
      <c r="A140" s="11">
        <v>9</v>
      </c>
      <c r="B140" s="11" t="s">
        <v>137</v>
      </c>
      <c r="C140" s="12">
        <v>10.876621</v>
      </c>
      <c r="D140" s="12">
        <v>1.856366</v>
      </c>
      <c r="E140" s="12">
        <v>1.3113840000000001</v>
      </c>
      <c r="F140" s="12">
        <v>2.3207949999999999</v>
      </c>
      <c r="G140" s="12">
        <v>3.2047349999999999</v>
      </c>
      <c r="H140" s="12">
        <v>44.105329050000002</v>
      </c>
      <c r="I140" s="12">
        <v>0.445106</v>
      </c>
      <c r="J140" s="12">
        <v>0.98302999999999996</v>
      </c>
      <c r="K140" s="12">
        <v>9.7036999999999998E-2</v>
      </c>
      <c r="L140" s="170">
        <f t="shared" si="6"/>
        <v>65.200403049999991</v>
      </c>
    </row>
    <row r="141" spans="1:12" x14ac:dyDescent="0.25">
      <c r="A141" s="11">
        <v>10</v>
      </c>
      <c r="B141" s="11" t="s">
        <v>138</v>
      </c>
      <c r="C141" s="12">
        <v>11.547435999999999</v>
      </c>
      <c r="D141" s="12">
        <v>1.887891</v>
      </c>
      <c r="E141" s="12">
        <v>0.84676200000000001</v>
      </c>
      <c r="F141" s="12">
        <v>1.505466</v>
      </c>
      <c r="G141" s="12">
        <v>2.8348659999999999</v>
      </c>
      <c r="H141" s="12">
        <v>88.210658100000003</v>
      </c>
      <c r="I141" s="12">
        <v>0.45632400000000001</v>
      </c>
      <c r="J141" s="12">
        <v>0.99947200000000003</v>
      </c>
      <c r="K141" s="12">
        <v>0.113071</v>
      </c>
      <c r="L141" s="170">
        <f t="shared" si="6"/>
        <v>108.4019461</v>
      </c>
    </row>
    <row r="142" spans="1:12" x14ac:dyDescent="0.25">
      <c r="A142" s="11">
        <v>11</v>
      </c>
      <c r="B142" s="11" t="s">
        <v>139</v>
      </c>
      <c r="C142" s="12">
        <v>10.926265000000001</v>
      </c>
      <c r="D142" s="12">
        <v>1.970572</v>
      </c>
      <c r="E142" s="12">
        <v>1.0605039999999999</v>
      </c>
      <c r="F142" s="12">
        <v>1.855302</v>
      </c>
      <c r="G142" s="12">
        <v>2.7035290000000001</v>
      </c>
      <c r="H142" s="12">
        <v>79.674142799999998</v>
      </c>
      <c r="I142" s="12">
        <v>0.40653</v>
      </c>
      <c r="J142" s="12">
        <v>0.951241</v>
      </c>
      <c r="K142" s="12">
        <v>0.152198</v>
      </c>
      <c r="L142" s="170">
        <f t="shared" si="6"/>
        <v>99.700283799999994</v>
      </c>
    </row>
    <row r="143" spans="1:12" x14ac:dyDescent="0.25">
      <c r="A143" s="11">
        <v>12</v>
      </c>
      <c r="B143" s="11" t="s">
        <v>140</v>
      </c>
      <c r="C143" s="12">
        <v>14.345651999999999</v>
      </c>
      <c r="D143" s="12">
        <v>2.2922289999999998</v>
      </c>
      <c r="E143" s="12">
        <v>0.75515500000000002</v>
      </c>
      <c r="F143" s="12">
        <v>1.3426</v>
      </c>
      <c r="G143" s="12">
        <v>2.1611159999999998</v>
      </c>
      <c r="H143" s="12">
        <v>92.621191005000014</v>
      </c>
      <c r="I143" s="12">
        <v>0.449855</v>
      </c>
      <c r="J143" s="12">
        <v>1.0850789999999999</v>
      </c>
      <c r="K143" s="12">
        <v>0.174064</v>
      </c>
      <c r="L143" s="170">
        <f t="shared" si="6"/>
        <v>115.226941005</v>
      </c>
    </row>
    <row r="144" spans="1:12" x14ac:dyDescent="0.25">
      <c r="A144" s="13" t="s">
        <v>38</v>
      </c>
      <c r="B144" s="13"/>
      <c r="C144" s="14">
        <v>164.6641390307</v>
      </c>
      <c r="D144" s="14">
        <v>25.706609999999998</v>
      </c>
      <c r="E144" s="14">
        <v>11.636101</v>
      </c>
      <c r="F144" s="14">
        <v>20.688177</v>
      </c>
      <c r="G144" s="14">
        <v>27.361332000000001</v>
      </c>
      <c r="H144" s="14">
        <v>652.5708359775</v>
      </c>
      <c r="I144" s="14">
        <v>5.033449000000001</v>
      </c>
      <c r="J144" s="14">
        <v>12.522777000000001</v>
      </c>
      <c r="K144" s="14">
        <v>1.4983839999999999</v>
      </c>
      <c r="L144" s="173">
        <f t="shared" si="6"/>
        <v>921.68180500820006</v>
      </c>
    </row>
    <row r="145" spans="3:11" x14ac:dyDescent="0.25">
      <c r="C145" s="146"/>
      <c r="D145" s="146"/>
      <c r="E145" s="146"/>
      <c r="F145" s="146"/>
      <c r="G145" s="146"/>
      <c r="H145" s="146"/>
      <c r="I145" s="146"/>
      <c r="J145" s="146"/>
      <c r="K145" s="146"/>
    </row>
    <row r="146" spans="3:11" x14ac:dyDescent="0.25">
      <c r="C146" s="146"/>
      <c r="D146" s="146"/>
      <c r="E146" s="146"/>
      <c r="F146" s="146"/>
      <c r="G146" s="146"/>
      <c r="H146" s="146"/>
      <c r="I146" s="146"/>
      <c r="J146" s="146"/>
      <c r="K146" s="146"/>
    </row>
  </sheetData>
  <mergeCells count="24">
    <mergeCell ref="A130:K130"/>
    <mergeCell ref="A110:K110"/>
    <mergeCell ref="A111:K111"/>
    <mergeCell ref="A112:K112"/>
    <mergeCell ref="A128:K128"/>
    <mergeCell ref="A129:K129"/>
    <mergeCell ref="A93:K93"/>
    <mergeCell ref="A38:K38"/>
    <mergeCell ref="A39:K39"/>
    <mergeCell ref="A40:K40"/>
    <mergeCell ref="A55:K55"/>
    <mergeCell ref="A56:K56"/>
    <mergeCell ref="A57:K57"/>
    <mergeCell ref="A73:K73"/>
    <mergeCell ref="A74:K74"/>
    <mergeCell ref="A75:K75"/>
    <mergeCell ref="A91:K91"/>
    <mergeCell ref="A92:K92"/>
    <mergeCell ref="A21:K21"/>
    <mergeCell ref="A1:K1"/>
    <mergeCell ref="A2:K2"/>
    <mergeCell ref="A3:K3"/>
    <mergeCell ref="A19:K19"/>
    <mergeCell ref="A20:K20"/>
  </mergeCells>
  <pageMargins left="0.70866141732283472" right="0.70866141732283472" top="0.59055118110236227" bottom="0.3937007874015748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F1D4E-CCA1-4383-9B91-FB1CF698F8AE}">
  <dimension ref="A1:J8"/>
  <sheetViews>
    <sheetView workbookViewId="0">
      <selection activeCell="G15" sqref="G15"/>
    </sheetView>
  </sheetViews>
  <sheetFormatPr defaultRowHeight="15" x14ac:dyDescent="0.25"/>
  <cols>
    <col min="1" max="1" width="29.7109375" customWidth="1"/>
    <col min="2" max="2" width="5.7109375" bestFit="1" customWidth="1"/>
    <col min="3" max="3" width="8.5703125" bestFit="1" customWidth="1"/>
    <col min="4" max="4" width="12" customWidth="1"/>
    <col min="5" max="5" width="10.85546875" customWidth="1"/>
    <col min="6" max="6" width="13" customWidth="1"/>
    <col min="7" max="7" width="12" customWidth="1"/>
    <col min="8" max="8" width="11.7109375" customWidth="1"/>
    <col min="9" max="9" width="11.5703125" customWidth="1"/>
    <col min="10" max="10" width="11.85546875" customWidth="1"/>
  </cols>
  <sheetData>
    <row r="1" spans="1:10" ht="15.75" x14ac:dyDescent="0.25">
      <c r="A1" s="406" t="s">
        <v>145</v>
      </c>
      <c r="B1" s="406"/>
      <c r="C1" s="406"/>
      <c r="D1" s="406"/>
      <c r="E1" s="406"/>
      <c r="F1" s="406"/>
      <c r="G1" s="406"/>
      <c r="H1" s="406"/>
      <c r="I1" s="406"/>
      <c r="J1" s="406"/>
    </row>
    <row r="2" spans="1:10" ht="15.75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15.75" x14ac:dyDescent="0.25">
      <c r="A3" s="406" t="s">
        <v>715</v>
      </c>
      <c r="B3" s="406"/>
      <c r="C3" s="406"/>
      <c r="D3" s="406"/>
      <c r="E3" s="406"/>
      <c r="F3" s="406"/>
      <c r="G3" s="406"/>
      <c r="H3" s="406"/>
      <c r="I3" s="406"/>
      <c r="J3" s="406"/>
    </row>
    <row r="5" spans="1:10" ht="31.5" x14ac:dyDescent="0.25">
      <c r="A5" s="17" t="s">
        <v>146</v>
      </c>
      <c r="B5" s="17" t="s">
        <v>147</v>
      </c>
      <c r="C5" s="18" t="s">
        <v>148</v>
      </c>
      <c r="D5" s="18" t="s">
        <v>149</v>
      </c>
      <c r="E5" s="18" t="s">
        <v>150</v>
      </c>
      <c r="F5" s="18" t="s">
        <v>151</v>
      </c>
      <c r="G5" s="18" t="s">
        <v>152</v>
      </c>
      <c r="H5" s="18" t="s">
        <v>153</v>
      </c>
      <c r="I5" s="18" t="s">
        <v>154</v>
      </c>
      <c r="J5" s="18" t="s">
        <v>155</v>
      </c>
    </row>
    <row r="6" spans="1:10" ht="42" customHeight="1" x14ac:dyDescent="0.25">
      <c r="A6" s="19" t="s">
        <v>157</v>
      </c>
      <c r="B6" s="21" t="s">
        <v>158</v>
      </c>
      <c r="C6" s="20">
        <v>63422</v>
      </c>
      <c r="D6" s="20">
        <v>64533</v>
      </c>
      <c r="E6" s="20">
        <v>65888</v>
      </c>
      <c r="F6" s="20">
        <v>66176</v>
      </c>
      <c r="G6" s="20">
        <v>69293</v>
      </c>
      <c r="H6" s="20">
        <v>71543</v>
      </c>
      <c r="I6" s="20">
        <v>73287</v>
      </c>
      <c r="J6" s="20">
        <v>76287</v>
      </c>
    </row>
    <row r="7" spans="1:10" ht="25.5" customHeight="1" x14ac:dyDescent="0.25">
      <c r="A7" s="20" t="s">
        <v>495</v>
      </c>
      <c r="B7" s="21" t="s">
        <v>159</v>
      </c>
      <c r="C7" s="20">
        <f>C6*5</f>
        <v>317110</v>
      </c>
      <c r="D7" s="20">
        <f t="shared" ref="D7:J7" si="0">D6*5</f>
        <v>322665</v>
      </c>
      <c r="E7" s="20">
        <f t="shared" si="0"/>
        <v>329440</v>
      </c>
      <c r="F7" s="20">
        <f t="shared" si="0"/>
        <v>330880</v>
      </c>
      <c r="G7" s="20">
        <f t="shared" si="0"/>
        <v>346465</v>
      </c>
      <c r="H7" s="20">
        <f t="shared" si="0"/>
        <v>357715</v>
      </c>
      <c r="I7" s="20">
        <f t="shared" si="0"/>
        <v>366435</v>
      </c>
      <c r="J7" s="20">
        <f t="shared" si="0"/>
        <v>381435</v>
      </c>
    </row>
    <row r="8" spans="1:10" ht="31.5" customHeight="1" x14ac:dyDescent="0.25">
      <c r="A8" s="20" t="s">
        <v>156</v>
      </c>
      <c r="B8" s="21" t="s">
        <v>160</v>
      </c>
      <c r="C8" s="20">
        <v>329.53</v>
      </c>
      <c r="D8" s="20">
        <v>416.45</v>
      </c>
      <c r="E8" s="20">
        <v>364.91</v>
      </c>
      <c r="F8" s="20">
        <v>557.88</v>
      </c>
      <c r="G8" s="20">
        <v>537.59</v>
      </c>
      <c r="H8" s="20">
        <v>596.25</v>
      </c>
      <c r="I8" s="20">
        <v>630.65</v>
      </c>
      <c r="J8" s="20">
        <v>652.57000000000005</v>
      </c>
    </row>
  </sheetData>
  <mergeCells count="2">
    <mergeCell ref="A1:J1"/>
    <mergeCell ref="A3:J3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24AE3-5E6D-437F-9C51-987003A38E74}">
  <dimension ref="A1:F21"/>
  <sheetViews>
    <sheetView tabSelected="1" workbookViewId="0">
      <selection activeCell="D12" sqref="D12"/>
    </sheetView>
  </sheetViews>
  <sheetFormatPr defaultRowHeight="15.75" x14ac:dyDescent="0.25"/>
  <cols>
    <col min="1" max="1" width="5.85546875" style="174" customWidth="1"/>
    <col min="2" max="2" width="49.42578125" style="174" customWidth="1"/>
    <col min="3" max="3" width="17.5703125" style="174" customWidth="1"/>
    <col min="4" max="4" width="17" style="174" customWidth="1"/>
    <col min="5" max="5" width="11" style="174" customWidth="1"/>
    <col min="6" max="6" width="9.5703125" style="174" bestFit="1" customWidth="1"/>
    <col min="7" max="256" width="9.140625" style="174"/>
    <col min="257" max="257" width="5.85546875" style="174" customWidth="1"/>
    <col min="258" max="258" width="50.7109375" style="174" customWidth="1"/>
    <col min="259" max="259" width="19.28515625" style="174" bestFit="1" customWidth="1"/>
    <col min="260" max="260" width="14.7109375" style="174" customWidth="1"/>
    <col min="261" max="261" width="11" style="174" customWidth="1"/>
    <col min="262" max="262" width="9.5703125" style="174" bestFit="1" customWidth="1"/>
    <col min="263" max="512" width="9.140625" style="174"/>
    <col min="513" max="513" width="5.85546875" style="174" customWidth="1"/>
    <col min="514" max="514" width="50.7109375" style="174" customWidth="1"/>
    <col min="515" max="515" width="19.28515625" style="174" bestFit="1" customWidth="1"/>
    <col min="516" max="516" width="14.7109375" style="174" customWidth="1"/>
    <col min="517" max="517" width="11" style="174" customWidth="1"/>
    <col min="518" max="518" width="9.5703125" style="174" bestFit="1" customWidth="1"/>
    <col min="519" max="768" width="9.140625" style="174"/>
    <col min="769" max="769" width="5.85546875" style="174" customWidth="1"/>
    <col min="770" max="770" width="50.7109375" style="174" customWidth="1"/>
    <col min="771" max="771" width="19.28515625" style="174" bestFit="1" customWidth="1"/>
    <col min="772" max="772" width="14.7109375" style="174" customWidth="1"/>
    <col min="773" max="773" width="11" style="174" customWidth="1"/>
    <col min="774" max="774" width="9.5703125" style="174" bestFit="1" customWidth="1"/>
    <col min="775" max="1024" width="9.140625" style="174"/>
    <col min="1025" max="1025" width="5.85546875" style="174" customWidth="1"/>
    <col min="1026" max="1026" width="50.7109375" style="174" customWidth="1"/>
    <col min="1027" max="1027" width="19.28515625" style="174" bestFit="1" customWidth="1"/>
    <col min="1028" max="1028" width="14.7109375" style="174" customWidth="1"/>
    <col min="1029" max="1029" width="11" style="174" customWidth="1"/>
    <col min="1030" max="1030" width="9.5703125" style="174" bestFit="1" customWidth="1"/>
    <col min="1031" max="1280" width="9.140625" style="174"/>
    <col min="1281" max="1281" width="5.85546875" style="174" customWidth="1"/>
    <col min="1282" max="1282" width="50.7109375" style="174" customWidth="1"/>
    <col min="1283" max="1283" width="19.28515625" style="174" bestFit="1" customWidth="1"/>
    <col min="1284" max="1284" width="14.7109375" style="174" customWidth="1"/>
    <col min="1285" max="1285" width="11" style="174" customWidth="1"/>
    <col min="1286" max="1286" width="9.5703125" style="174" bestFit="1" customWidth="1"/>
    <col min="1287" max="1536" width="9.140625" style="174"/>
    <col min="1537" max="1537" width="5.85546875" style="174" customWidth="1"/>
    <col min="1538" max="1538" width="50.7109375" style="174" customWidth="1"/>
    <col min="1539" max="1539" width="19.28515625" style="174" bestFit="1" customWidth="1"/>
    <col min="1540" max="1540" width="14.7109375" style="174" customWidth="1"/>
    <col min="1541" max="1541" width="11" style="174" customWidth="1"/>
    <col min="1542" max="1542" width="9.5703125" style="174" bestFit="1" customWidth="1"/>
    <col min="1543" max="1792" width="9.140625" style="174"/>
    <col min="1793" max="1793" width="5.85546875" style="174" customWidth="1"/>
    <col min="1794" max="1794" width="50.7109375" style="174" customWidth="1"/>
    <col min="1795" max="1795" width="19.28515625" style="174" bestFit="1" customWidth="1"/>
    <col min="1796" max="1796" width="14.7109375" style="174" customWidth="1"/>
    <col min="1797" max="1797" width="11" style="174" customWidth="1"/>
    <col min="1798" max="1798" width="9.5703125" style="174" bestFit="1" customWidth="1"/>
    <col min="1799" max="2048" width="9.140625" style="174"/>
    <col min="2049" max="2049" width="5.85546875" style="174" customWidth="1"/>
    <col min="2050" max="2050" width="50.7109375" style="174" customWidth="1"/>
    <col min="2051" max="2051" width="19.28515625" style="174" bestFit="1" customWidth="1"/>
    <col min="2052" max="2052" width="14.7109375" style="174" customWidth="1"/>
    <col min="2053" max="2053" width="11" style="174" customWidth="1"/>
    <col min="2054" max="2054" width="9.5703125" style="174" bestFit="1" customWidth="1"/>
    <col min="2055" max="2304" width="9.140625" style="174"/>
    <col min="2305" max="2305" width="5.85546875" style="174" customWidth="1"/>
    <col min="2306" max="2306" width="50.7109375" style="174" customWidth="1"/>
    <col min="2307" max="2307" width="19.28515625" style="174" bestFit="1" customWidth="1"/>
    <col min="2308" max="2308" width="14.7109375" style="174" customWidth="1"/>
    <col min="2309" max="2309" width="11" style="174" customWidth="1"/>
    <col min="2310" max="2310" width="9.5703125" style="174" bestFit="1" customWidth="1"/>
    <col min="2311" max="2560" width="9.140625" style="174"/>
    <col min="2561" max="2561" width="5.85546875" style="174" customWidth="1"/>
    <col min="2562" max="2562" width="50.7109375" style="174" customWidth="1"/>
    <col min="2563" max="2563" width="19.28515625" style="174" bestFit="1" customWidth="1"/>
    <col min="2564" max="2564" width="14.7109375" style="174" customWidth="1"/>
    <col min="2565" max="2565" width="11" style="174" customWidth="1"/>
    <col min="2566" max="2566" width="9.5703125" style="174" bestFit="1" customWidth="1"/>
    <col min="2567" max="2816" width="9.140625" style="174"/>
    <col min="2817" max="2817" width="5.85546875" style="174" customWidth="1"/>
    <col min="2818" max="2818" width="50.7109375" style="174" customWidth="1"/>
    <col min="2819" max="2819" width="19.28515625" style="174" bestFit="1" customWidth="1"/>
    <col min="2820" max="2820" width="14.7109375" style="174" customWidth="1"/>
    <col min="2821" max="2821" width="11" style="174" customWidth="1"/>
    <col min="2822" max="2822" width="9.5703125" style="174" bestFit="1" customWidth="1"/>
    <col min="2823" max="3072" width="9.140625" style="174"/>
    <col min="3073" max="3073" width="5.85546875" style="174" customWidth="1"/>
    <col min="3074" max="3074" width="50.7109375" style="174" customWidth="1"/>
    <col min="3075" max="3075" width="19.28515625" style="174" bestFit="1" customWidth="1"/>
    <col min="3076" max="3076" width="14.7109375" style="174" customWidth="1"/>
    <col min="3077" max="3077" width="11" style="174" customWidth="1"/>
    <col min="3078" max="3078" width="9.5703125" style="174" bestFit="1" customWidth="1"/>
    <col min="3079" max="3328" width="9.140625" style="174"/>
    <col min="3329" max="3329" width="5.85546875" style="174" customWidth="1"/>
    <col min="3330" max="3330" width="50.7109375" style="174" customWidth="1"/>
    <col min="3331" max="3331" width="19.28515625" style="174" bestFit="1" customWidth="1"/>
    <col min="3332" max="3332" width="14.7109375" style="174" customWidth="1"/>
    <col min="3333" max="3333" width="11" style="174" customWidth="1"/>
    <col min="3334" max="3334" width="9.5703125" style="174" bestFit="1" customWidth="1"/>
    <col min="3335" max="3584" width="9.140625" style="174"/>
    <col min="3585" max="3585" width="5.85546875" style="174" customWidth="1"/>
    <col min="3586" max="3586" width="50.7109375" style="174" customWidth="1"/>
    <col min="3587" max="3587" width="19.28515625" style="174" bestFit="1" customWidth="1"/>
    <col min="3588" max="3588" width="14.7109375" style="174" customWidth="1"/>
    <col min="3589" max="3589" width="11" style="174" customWidth="1"/>
    <col min="3590" max="3590" width="9.5703125" style="174" bestFit="1" customWidth="1"/>
    <col min="3591" max="3840" width="9.140625" style="174"/>
    <col min="3841" max="3841" width="5.85546875" style="174" customWidth="1"/>
    <col min="3842" max="3842" width="50.7109375" style="174" customWidth="1"/>
    <col min="3843" max="3843" width="19.28515625" style="174" bestFit="1" customWidth="1"/>
    <col min="3844" max="3844" width="14.7109375" style="174" customWidth="1"/>
    <col min="3845" max="3845" width="11" style="174" customWidth="1"/>
    <col min="3846" max="3846" width="9.5703125" style="174" bestFit="1" customWidth="1"/>
    <col min="3847" max="4096" width="9.140625" style="174"/>
    <col min="4097" max="4097" width="5.85546875" style="174" customWidth="1"/>
    <col min="4098" max="4098" width="50.7109375" style="174" customWidth="1"/>
    <col min="4099" max="4099" width="19.28515625" style="174" bestFit="1" customWidth="1"/>
    <col min="4100" max="4100" width="14.7109375" style="174" customWidth="1"/>
    <col min="4101" max="4101" width="11" style="174" customWidth="1"/>
    <col min="4102" max="4102" width="9.5703125" style="174" bestFit="1" customWidth="1"/>
    <col min="4103" max="4352" width="9.140625" style="174"/>
    <col min="4353" max="4353" width="5.85546875" style="174" customWidth="1"/>
    <col min="4354" max="4354" width="50.7109375" style="174" customWidth="1"/>
    <col min="4355" max="4355" width="19.28515625" style="174" bestFit="1" customWidth="1"/>
    <col min="4356" max="4356" width="14.7109375" style="174" customWidth="1"/>
    <col min="4357" max="4357" width="11" style="174" customWidth="1"/>
    <col min="4358" max="4358" width="9.5703125" style="174" bestFit="1" customWidth="1"/>
    <col min="4359" max="4608" width="9.140625" style="174"/>
    <col min="4609" max="4609" width="5.85546875" style="174" customWidth="1"/>
    <col min="4610" max="4610" width="50.7109375" style="174" customWidth="1"/>
    <col min="4611" max="4611" width="19.28515625" style="174" bestFit="1" customWidth="1"/>
    <col min="4612" max="4612" width="14.7109375" style="174" customWidth="1"/>
    <col min="4613" max="4613" width="11" style="174" customWidth="1"/>
    <col min="4614" max="4614" width="9.5703125" style="174" bestFit="1" customWidth="1"/>
    <col min="4615" max="4864" width="9.140625" style="174"/>
    <col min="4865" max="4865" width="5.85546875" style="174" customWidth="1"/>
    <col min="4866" max="4866" width="50.7109375" style="174" customWidth="1"/>
    <col min="4867" max="4867" width="19.28515625" style="174" bestFit="1" customWidth="1"/>
    <col min="4868" max="4868" width="14.7109375" style="174" customWidth="1"/>
    <col min="4869" max="4869" width="11" style="174" customWidth="1"/>
    <col min="4870" max="4870" width="9.5703125" style="174" bestFit="1" customWidth="1"/>
    <col min="4871" max="5120" width="9.140625" style="174"/>
    <col min="5121" max="5121" width="5.85546875" style="174" customWidth="1"/>
    <col min="5122" max="5122" width="50.7109375" style="174" customWidth="1"/>
    <col min="5123" max="5123" width="19.28515625" style="174" bestFit="1" customWidth="1"/>
    <col min="5124" max="5124" width="14.7109375" style="174" customWidth="1"/>
    <col min="5125" max="5125" width="11" style="174" customWidth="1"/>
    <col min="5126" max="5126" width="9.5703125" style="174" bestFit="1" customWidth="1"/>
    <col min="5127" max="5376" width="9.140625" style="174"/>
    <col min="5377" max="5377" width="5.85546875" style="174" customWidth="1"/>
    <col min="5378" max="5378" width="50.7109375" style="174" customWidth="1"/>
    <col min="5379" max="5379" width="19.28515625" style="174" bestFit="1" customWidth="1"/>
    <col min="5380" max="5380" width="14.7109375" style="174" customWidth="1"/>
    <col min="5381" max="5381" width="11" style="174" customWidth="1"/>
    <col min="5382" max="5382" width="9.5703125" style="174" bestFit="1" customWidth="1"/>
    <col min="5383" max="5632" width="9.140625" style="174"/>
    <col min="5633" max="5633" width="5.85546875" style="174" customWidth="1"/>
    <col min="5634" max="5634" width="50.7109375" style="174" customWidth="1"/>
    <col min="5635" max="5635" width="19.28515625" style="174" bestFit="1" customWidth="1"/>
    <col min="5636" max="5636" width="14.7109375" style="174" customWidth="1"/>
    <col min="5637" max="5637" width="11" style="174" customWidth="1"/>
    <col min="5638" max="5638" width="9.5703125" style="174" bestFit="1" customWidth="1"/>
    <col min="5639" max="5888" width="9.140625" style="174"/>
    <col min="5889" max="5889" width="5.85546875" style="174" customWidth="1"/>
    <col min="5890" max="5890" width="50.7109375" style="174" customWidth="1"/>
    <col min="5891" max="5891" width="19.28515625" style="174" bestFit="1" customWidth="1"/>
    <col min="5892" max="5892" width="14.7109375" style="174" customWidth="1"/>
    <col min="5893" max="5893" width="11" style="174" customWidth="1"/>
    <col min="5894" max="5894" width="9.5703125" style="174" bestFit="1" customWidth="1"/>
    <col min="5895" max="6144" width="9.140625" style="174"/>
    <col min="6145" max="6145" width="5.85546875" style="174" customWidth="1"/>
    <col min="6146" max="6146" width="50.7109375" style="174" customWidth="1"/>
    <col min="6147" max="6147" width="19.28515625" style="174" bestFit="1" customWidth="1"/>
    <col min="6148" max="6148" width="14.7109375" style="174" customWidth="1"/>
    <col min="6149" max="6149" width="11" style="174" customWidth="1"/>
    <col min="6150" max="6150" width="9.5703125" style="174" bestFit="1" customWidth="1"/>
    <col min="6151" max="6400" width="9.140625" style="174"/>
    <col min="6401" max="6401" width="5.85546875" style="174" customWidth="1"/>
    <col min="6402" max="6402" width="50.7109375" style="174" customWidth="1"/>
    <col min="6403" max="6403" width="19.28515625" style="174" bestFit="1" customWidth="1"/>
    <col min="6404" max="6404" width="14.7109375" style="174" customWidth="1"/>
    <col min="6405" max="6405" width="11" style="174" customWidth="1"/>
    <col min="6406" max="6406" width="9.5703125" style="174" bestFit="1" customWidth="1"/>
    <col min="6407" max="6656" width="9.140625" style="174"/>
    <col min="6657" max="6657" width="5.85546875" style="174" customWidth="1"/>
    <col min="6658" max="6658" width="50.7109375" style="174" customWidth="1"/>
    <col min="6659" max="6659" width="19.28515625" style="174" bestFit="1" customWidth="1"/>
    <col min="6660" max="6660" width="14.7109375" style="174" customWidth="1"/>
    <col min="6661" max="6661" width="11" style="174" customWidth="1"/>
    <col min="6662" max="6662" width="9.5703125" style="174" bestFit="1" customWidth="1"/>
    <col min="6663" max="6912" width="9.140625" style="174"/>
    <col min="6913" max="6913" width="5.85546875" style="174" customWidth="1"/>
    <col min="6914" max="6914" width="50.7109375" style="174" customWidth="1"/>
    <col min="6915" max="6915" width="19.28515625" style="174" bestFit="1" customWidth="1"/>
    <col min="6916" max="6916" width="14.7109375" style="174" customWidth="1"/>
    <col min="6917" max="6917" width="11" style="174" customWidth="1"/>
    <col min="6918" max="6918" width="9.5703125" style="174" bestFit="1" customWidth="1"/>
    <col min="6919" max="7168" width="9.140625" style="174"/>
    <col min="7169" max="7169" width="5.85546875" style="174" customWidth="1"/>
    <col min="7170" max="7170" width="50.7109375" style="174" customWidth="1"/>
    <col min="7171" max="7171" width="19.28515625" style="174" bestFit="1" customWidth="1"/>
    <col min="7172" max="7172" width="14.7109375" style="174" customWidth="1"/>
    <col min="7173" max="7173" width="11" style="174" customWidth="1"/>
    <col min="7174" max="7174" width="9.5703125" style="174" bestFit="1" customWidth="1"/>
    <col min="7175" max="7424" width="9.140625" style="174"/>
    <col min="7425" max="7425" width="5.85546875" style="174" customWidth="1"/>
    <col min="7426" max="7426" width="50.7109375" style="174" customWidth="1"/>
    <col min="7427" max="7427" width="19.28515625" style="174" bestFit="1" customWidth="1"/>
    <col min="7428" max="7428" width="14.7109375" style="174" customWidth="1"/>
    <col min="7429" max="7429" width="11" style="174" customWidth="1"/>
    <col min="7430" max="7430" width="9.5703125" style="174" bestFit="1" customWidth="1"/>
    <col min="7431" max="7680" width="9.140625" style="174"/>
    <col min="7681" max="7681" width="5.85546875" style="174" customWidth="1"/>
    <col min="7682" max="7682" width="50.7109375" style="174" customWidth="1"/>
    <col min="7683" max="7683" width="19.28515625" style="174" bestFit="1" customWidth="1"/>
    <col min="7684" max="7684" width="14.7109375" style="174" customWidth="1"/>
    <col min="7685" max="7685" width="11" style="174" customWidth="1"/>
    <col min="7686" max="7686" width="9.5703125" style="174" bestFit="1" customWidth="1"/>
    <col min="7687" max="7936" width="9.140625" style="174"/>
    <col min="7937" max="7937" width="5.85546875" style="174" customWidth="1"/>
    <col min="7938" max="7938" width="50.7109375" style="174" customWidth="1"/>
    <col min="7939" max="7939" width="19.28515625" style="174" bestFit="1" customWidth="1"/>
    <col min="7940" max="7940" width="14.7109375" style="174" customWidth="1"/>
    <col min="7941" max="7941" width="11" style="174" customWidth="1"/>
    <col min="7942" max="7942" width="9.5703125" style="174" bestFit="1" customWidth="1"/>
    <col min="7943" max="8192" width="9.140625" style="174"/>
    <col min="8193" max="8193" width="5.85546875" style="174" customWidth="1"/>
    <col min="8194" max="8194" width="50.7109375" style="174" customWidth="1"/>
    <col min="8195" max="8195" width="19.28515625" style="174" bestFit="1" customWidth="1"/>
    <col min="8196" max="8196" width="14.7109375" style="174" customWidth="1"/>
    <col min="8197" max="8197" width="11" style="174" customWidth="1"/>
    <col min="8198" max="8198" width="9.5703125" style="174" bestFit="1" customWidth="1"/>
    <col min="8199" max="8448" width="9.140625" style="174"/>
    <col min="8449" max="8449" width="5.85546875" style="174" customWidth="1"/>
    <col min="8450" max="8450" width="50.7109375" style="174" customWidth="1"/>
    <col min="8451" max="8451" width="19.28515625" style="174" bestFit="1" customWidth="1"/>
    <col min="8452" max="8452" width="14.7109375" style="174" customWidth="1"/>
    <col min="8453" max="8453" width="11" style="174" customWidth="1"/>
    <col min="8454" max="8454" width="9.5703125" style="174" bestFit="1" customWidth="1"/>
    <col min="8455" max="8704" width="9.140625" style="174"/>
    <col min="8705" max="8705" width="5.85546875" style="174" customWidth="1"/>
    <col min="8706" max="8706" width="50.7109375" style="174" customWidth="1"/>
    <col min="8707" max="8707" width="19.28515625" style="174" bestFit="1" customWidth="1"/>
    <col min="8708" max="8708" width="14.7109375" style="174" customWidth="1"/>
    <col min="8709" max="8709" width="11" style="174" customWidth="1"/>
    <col min="8710" max="8710" width="9.5703125" style="174" bestFit="1" customWidth="1"/>
    <col min="8711" max="8960" width="9.140625" style="174"/>
    <col min="8961" max="8961" width="5.85546875" style="174" customWidth="1"/>
    <col min="8962" max="8962" width="50.7109375" style="174" customWidth="1"/>
    <col min="8963" max="8963" width="19.28515625" style="174" bestFit="1" customWidth="1"/>
    <col min="8964" max="8964" width="14.7109375" style="174" customWidth="1"/>
    <col min="8965" max="8965" width="11" style="174" customWidth="1"/>
    <col min="8966" max="8966" width="9.5703125" style="174" bestFit="1" customWidth="1"/>
    <col min="8967" max="9216" width="9.140625" style="174"/>
    <col min="9217" max="9217" width="5.85546875" style="174" customWidth="1"/>
    <col min="9218" max="9218" width="50.7109375" style="174" customWidth="1"/>
    <col min="9219" max="9219" width="19.28515625" style="174" bestFit="1" customWidth="1"/>
    <col min="9220" max="9220" width="14.7109375" style="174" customWidth="1"/>
    <col min="9221" max="9221" width="11" style="174" customWidth="1"/>
    <col min="9222" max="9222" width="9.5703125" style="174" bestFit="1" customWidth="1"/>
    <col min="9223" max="9472" width="9.140625" style="174"/>
    <col min="9473" max="9473" width="5.85546875" style="174" customWidth="1"/>
    <col min="9474" max="9474" width="50.7109375" style="174" customWidth="1"/>
    <col min="9475" max="9475" width="19.28515625" style="174" bestFit="1" customWidth="1"/>
    <col min="9476" max="9476" width="14.7109375" style="174" customWidth="1"/>
    <col min="9477" max="9477" width="11" style="174" customWidth="1"/>
    <col min="9478" max="9478" width="9.5703125" style="174" bestFit="1" customWidth="1"/>
    <col min="9479" max="9728" width="9.140625" style="174"/>
    <col min="9729" max="9729" width="5.85546875" style="174" customWidth="1"/>
    <col min="9730" max="9730" width="50.7109375" style="174" customWidth="1"/>
    <col min="9731" max="9731" width="19.28515625" style="174" bestFit="1" customWidth="1"/>
    <col min="9732" max="9732" width="14.7109375" style="174" customWidth="1"/>
    <col min="9733" max="9733" width="11" style="174" customWidth="1"/>
    <col min="9734" max="9734" width="9.5703125" style="174" bestFit="1" customWidth="1"/>
    <col min="9735" max="9984" width="9.140625" style="174"/>
    <col min="9985" max="9985" width="5.85546875" style="174" customWidth="1"/>
    <col min="9986" max="9986" width="50.7109375" style="174" customWidth="1"/>
    <col min="9987" max="9987" width="19.28515625" style="174" bestFit="1" customWidth="1"/>
    <col min="9988" max="9988" width="14.7109375" style="174" customWidth="1"/>
    <col min="9989" max="9989" width="11" style="174" customWidth="1"/>
    <col min="9990" max="9990" width="9.5703125" style="174" bestFit="1" customWidth="1"/>
    <col min="9991" max="10240" width="9.140625" style="174"/>
    <col min="10241" max="10241" width="5.85546875" style="174" customWidth="1"/>
    <col min="10242" max="10242" width="50.7109375" style="174" customWidth="1"/>
    <col min="10243" max="10243" width="19.28515625" style="174" bestFit="1" customWidth="1"/>
    <col min="10244" max="10244" width="14.7109375" style="174" customWidth="1"/>
    <col min="10245" max="10245" width="11" style="174" customWidth="1"/>
    <col min="10246" max="10246" width="9.5703125" style="174" bestFit="1" customWidth="1"/>
    <col min="10247" max="10496" width="9.140625" style="174"/>
    <col min="10497" max="10497" width="5.85546875" style="174" customWidth="1"/>
    <col min="10498" max="10498" width="50.7109375" style="174" customWidth="1"/>
    <col min="10499" max="10499" width="19.28515625" style="174" bestFit="1" customWidth="1"/>
    <col min="10500" max="10500" width="14.7109375" style="174" customWidth="1"/>
    <col min="10501" max="10501" width="11" style="174" customWidth="1"/>
    <col min="10502" max="10502" width="9.5703125" style="174" bestFit="1" customWidth="1"/>
    <col min="10503" max="10752" width="9.140625" style="174"/>
    <col min="10753" max="10753" width="5.85546875" style="174" customWidth="1"/>
    <col min="10754" max="10754" width="50.7109375" style="174" customWidth="1"/>
    <col min="10755" max="10755" width="19.28515625" style="174" bestFit="1" customWidth="1"/>
    <col min="10756" max="10756" width="14.7109375" style="174" customWidth="1"/>
    <col min="10757" max="10757" width="11" style="174" customWidth="1"/>
    <col min="10758" max="10758" width="9.5703125" style="174" bestFit="1" customWidth="1"/>
    <col min="10759" max="11008" width="9.140625" style="174"/>
    <col min="11009" max="11009" width="5.85546875" style="174" customWidth="1"/>
    <col min="11010" max="11010" width="50.7109375" style="174" customWidth="1"/>
    <col min="11011" max="11011" width="19.28515625" style="174" bestFit="1" customWidth="1"/>
    <col min="11012" max="11012" width="14.7109375" style="174" customWidth="1"/>
    <col min="11013" max="11013" width="11" style="174" customWidth="1"/>
    <col min="11014" max="11014" width="9.5703125" style="174" bestFit="1" customWidth="1"/>
    <col min="11015" max="11264" width="9.140625" style="174"/>
    <col min="11265" max="11265" width="5.85546875" style="174" customWidth="1"/>
    <col min="11266" max="11266" width="50.7109375" style="174" customWidth="1"/>
    <col min="11267" max="11267" width="19.28515625" style="174" bestFit="1" customWidth="1"/>
    <col min="11268" max="11268" width="14.7109375" style="174" customWidth="1"/>
    <col min="11269" max="11269" width="11" style="174" customWidth="1"/>
    <col min="11270" max="11270" width="9.5703125" style="174" bestFit="1" customWidth="1"/>
    <col min="11271" max="11520" width="9.140625" style="174"/>
    <col min="11521" max="11521" width="5.85546875" style="174" customWidth="1"/>
    <col min="11522" max="11522" width="50.7109375" style="174" customWidth="1"/>
    <col min="11523" max="11523" width="19.28515625" style="174" bestFit="1" customWidth="1"/>
    <col min="11524" max="11524" width="14.7109375" style="174" customWidth="1"/>
    <col min="11525" max="11525" width="11" style="174" customWidth="1"/>
    <col min="11526" max="11526" width="9.5703125" style="174" bestFit="1" customWidth="1"/>
    <col min="11527" max="11776" width="9.140625" style="174"/>
    <col min="11777" max="11777" width="5.85546875" style="174" customWidth="1"/>
    <col min="11778" max="11778" width="50.7109375" style="174" customWidth="1"/>
    <col min="11779" max="11779" width="19.28515625" style="174" bestFit="1" customWidth="1"/>
    <col min="11780" max="11780" width="14.7109375" style="174" customWidth="1"/>
    <col min="11781" max="11781" width="11" style="174" customWidth="1"/>
    <col min="11782" max="11782" width="9.5703125" style="174" bestFit="1" customWidth="1"/>
    <col min="11783" max="12032" width="9.140625" style="174"/>
    <col min="12033" max="12033" width="5.85546875" style="174" customWidth="1"/>
    <col min="12034" max="12034" width="50.7109375" style="174" customWidth="1"/>
    <col min="12035" max="12035" width="19.28515625" style="174" bestFit="1" customWidth="1"/>
    <col min="12036" max="12036" width="14.7109375" style="174" customWidth="1"/>
    <col min="12037" max="12037" width="11" style="174" customWidth="1"/>
    <col min="12038" max="12038" width="9.5703125" style="174" bestFit="1" customWidth="1"/>
    <col min="12039" max="12288" width="9.140625" style="174"/>
    <col min="12289" max="12289" width="5.85546875" style="174" customWidth="1"/>
    <col min="12290" max="12290" width="50.7109375" style="174" customWidth="1"/>
    <col min="12291" max="12291" width="19.28515625" style="174" bestFit="1" customWidth="1"/>
    <col min="12292" max="12292" width="14.7109375" style="174" customWidth="1"/>
    <col min="12293" max="12293" width="11" style="174" customWidth="1"/>
    <col min="12294" max="12294" width="9.5703125" style="174" bestFit="1" customWidth="1"/>
    <col min="12295" max="12544" width="9.140625" style="174"/>
    <col min="12545" max="12545" width="5.85546875" style="174" customWidth="1"/>
    <col min="12546" max="12546" width="50.7109375" style="174" customWidth="1"/>
    <col min="12547" max="12547" width="19.28515625" style="174" bestFit="1" customWidth="1"/>
    <col min="12548" max="12548" width="14.7109375" style="174" customWidth="1"/>
    <col min="12549" max="12549" width="11" style="174" customWidth="1"/>
    <col min="12550" max="12550" width="9.5703125" style="174" bestFit="1" customWidth="1"/>
    <col min="12551" max="12800" width="9.140625" style="174"/>
    <col min="12801" max="12801" width="5.85546875" style="174" customWidth="1"/>
    <col min="12802" max="12802" width="50.7109375" style="174" customWidth="1"/>
    <col min="12803" max="12803" width="19.28515625" style="174" bestFit="1" customWidth="1"/>
    <col min="12804" max="12804" width="14.7109375" style="174" customWidth="1"/>
    <col min="12805" max="12805" width="11" style="174" customWidth="1"/>
    <col min="12806" max="12806" width="9.5703125" style="174" bestFit="1" customWidth="1"/>
    <col min="12807" max="13056" width="9.140625" style="174"/>
    <col min="13057" max="13057" width="5.85546875" style="174" customWidth="1"/>
    <col min="13058" max="13058" width="50.7109375" style="174" customWidth="1"/>
    <col min="13059" max="13059" width="19.28515625" style="174" bestFit="1" customWidth="1"/>
    <col min="13060" max="13060" width="14.7109375" style="174" customWidth="1"/>
    <col min="13061" max="13061" width="11" style="174" customWidth="1"/>
    <col min="13062" max="13062" width="9.5703125" style="174" bestFit="1" customWidth="1"/>
    <col min="13063" max="13312" width="9.140625" style="174"/>
    <col min="13313" max="13313" width="5.85546875" style="174" customWidth="1"/>
    <col min="13314" max="13314" width="50.7109375" style="174" customWidth="1"/>
    <col min="13315" max="13315" width="19.28515625" style="174" bestFit="1" customWidth="1"/>
    <col min="13316" max="13316" width="14.7109375" style="174" customWidth="1"/>
    <col min="13317" max="13317" width="11" style="174" customWidth="1"/>
    <col min="13318" max="13318" width="9.5703125" style="174" bestFit="1" customWidth="1"/>
    <col min="13319" max="13568" width="9.140625" style="174"/>
    <col min="13569" max="13569" width="5.85546875" style="174" customWidth="1"/>
    <col min="13570" max="13570" width="50.7109375" style="174" customWidth="1"/>
    <col min="13571" max="13571" width="19.28515625" style="174" bestFit="1" customWidth="1"/>
    <col min="13572" max="13572" width="14.7109375" style="174" customWidth="1"/>
    <col min="13573" max="13573" width="11" style="174" customWidth="1"/>
    <col min="13574" max="13574" width="9.5703125" style="174" bestFit="1" customWidth="1"/>
    <col min="13575" max="13824" width="9.140625" style="174"/>
    <col min="13825" max="13825" width="5.85546875" style="174" customWidth="1"/>
    <col min="13826" max="13826" width="50.7109375" style="174" customWidth="1"/>
    <col min="13827" max="13827" width="19.28515625" style="174" bestFit="1" customWidth="1"/>
    <col min="13828" max="13828" width="14.7109375" style="174" customWidth="1"/>
    <col min="13829" max="13829" width="11" style="174" customWidth="1"/>
    <col min="13830" max="13830" width="9.5703125" style="174" bestFit="1" customWidth="1"/>
    <col min="13831" max="14080" width="9.140625" style="174"/>
    <col min="14081" max="14081" width="5.85546875" style="174" customWidth="1"/>
    <col min="14082" max="14082" width="50.7109375" style="174" customWidth="1"/>
    <col min="14083" max="14083" width="19.28515625" style="174" bestFit="1" customWidth="1"/>
    <col min="14084" max="14084" width="14.7109375" style="174" customWidth="1"/>
    <col min="14085" max="14085" width="11" style="174" customWidth="1"/>
    <col min="14086" max="14086" width="9.5703125" style="174" bestFit="1" customWidth="1"/>
    <col min="14087" max="14336" width="9.140625" style="174"/>
    <col min="14337" max="14337" width="5.85546875" style="174" customWidth="1"/>
    <col min="14338" max="14338" width="50.7109375" style="174" customWidth="1"/>
    <col min="14339" max="14339" width="19.28515625" style="174" bestFit="1" customWidth="1"/>
    <col min="14340" max="14340" width="14.7109375" style="174" customWidth="1"/>
    <col min="14341" max="14341" width="11" style="174" customWidth="1"/>
    <col min="14342" max="14342" width="9.5703125" style="174" bestFit="1" customWidth="1"/>
    <col min="14343" max="14592" width="9.140625" style="174"/>
    <col min="14593" max="14593" width="5.85546875" style="174" customWidth="1"/>
    <col min="14594" max="14594" width="50.7109375" style="174" customWidth="1"/>
    <col min="14595" max="14595" width="19.28515625" style="174" bestFit="1" customWidth="1"/>
    <col min="14596" max="14596" width="14.7109375" style="174" customWidth="1"/>
    <col min="14597" max="14597" width="11" style="174" customWidth="1"/>
    <col min="14598" max="14598" width="9.5703125" style="174" bestFit="1" customWidth="1"/>
    <col min="14599" max="14848" width="9.140625" style="174"/>
    <col min="14849" max="14849" width="5.85546875" style="174" customWidth="1"/>
    <col min="14850" max="14850" width="50.7109375" style="174" customWidth="1"/>
    <col min="14851" max="14851" width="19.28515625" style="174" bestFit="1" customWidth="1"/>
    <col min="14852" max="14852" width="14.7109375" style="174" customWidth="1"/>
    <col min="14853" max="14853" width="11" style="174" customWidth="1"/>
    <col min="14854" max="14854" width="9.5703125" style="174" bestFit="1" customWidth="1"/>
    <col min="14855" max="15104" width="9.140625" style="174"/>
    <col min="15105" max="15105" width="5.85546875" style="174" customWidth="1"/>
    <col min="15106" max="15106" width="50.7109375" style="174" customWidth="1"/>
    <col min="15107" max="15107" width="19.28515625" style="174" bestFit="1" customWidth="1"/>
    <col min="15108" max="15108" width="14.7109375" style="174" customWidth="1"/>
    <col min="15109" max="15109" width="11" style="174" customWidth="1"/>
    <col min="15110" max="15110" width="9.5703125" style="174" bestFit="1" customWidth="1"/>
    <col min="15111" max="15360" width="9.140625" style="174"/>
    <col min="15361" max="15361" width="5.85546875" style="174" customWidth="1"/>
    <col min="15362" max="15362" width="50.7109375" style="174" customWidth="1"/>
    <col min="15363" max="15363" width="19.28515625" style="174" bestFit="1" customWidth="1"/>
    <col min="15364" max="15364" width="14.7109375" style="174" customWidth="1"/>
    <col min="15365" max="15365" width="11" style="174" customWidth="1"/>
    <col min="15366" max="15366" width="9.5703125" style="174" bestFit="1" customWidth="1"/>
    <col min="15367" max="15616" width="9.140625" style="174"/>
    <col min="15617" max="15617" width="5.85546875" style="174" customWidth="1"/>
    <col min="15618" max="15618" width="50.7109375" style="174" customWidth="1"/>
    <col min="15619" max="15619" width="19.28515625" style="174" bestFit="1" customWidth="1"/>
    <col min="15620" max="15620" width="14.7109375" style="174" customWidth="1"/>
    <col min="15621" max="15621" width="11" style="174" customWidth="1"/>
    <col min="15622" max="15622" width="9.5703125" style="174" bestFit="1" customWidth="1"/>
    <col min="15623" max="15872" width="9.140625" style="174"/>
    <col min="15873" max="15873" width="5.85546875" style="174" customWidth="1"/>
    <col min="15874" max="15874" width="50.7109375" style="174" customWidth="1"/>
    <col min="15875" max="15875" width="19.28515625" style="174" bestFit="1" customWidth="1"/>
    <col min="15876" max="15876" width="14.7109375" style="174" customWidth="1"/>
    <col min="15877" max="15877" width="11" style="174" customWidth="1"/>
    <col min="15878" max="15878" width="9.5703125" style="174" bestFit="1" customWidth="1"/>
    <col min="15879" max="16128" width="9.140625" style="174"/>
    <col min="16129" max="16129" width="5.85546875" style="174" customWidth="1"/>
    <col min="16130" max="16130" width="50.7109375" style="174" customWidth="1"/>
    <col min="16131" max="16131" width="19.28515625" style="174" bestFit="1" customWidth="1"/>
    <col min="16132" max="16132" width="14.7109375" style="174" customWidth="1"/>
    <col min="16133" max="16133" width="11" style="174" customWidth="1"/>
    <col min="16134" max="16134" width="9.5703125" style="174" bestFit="1" customWidth="1"/>
    <col min="16135" max="16384" width="9.140625" style="174"/>
  </cols>
  <sheetData>
    <row r="1" spans="1:6" ht="16.5" x14ac:dyDescent="0.3">
      <c r="A1" s="484" t="s">
        <v>496</v>
      </c>
      <c r="B1" s="484"/>
      <c r="C1" s="484"/>
      <c r="D1" s="484"/>
    </row>
    <row r="2" spans="1:6" x14ac:dyDescent="0.25">
      <c r="A2" s="485"/>
      <c r="B2" s="485"/>
      <c r="C2" s="485"/>
      <c r="D2" s="485"/>
    </row>
    <row r="3" spans="1:6" ht="16.5" x14ac:dyDescent="0.3">
      <c r="A3" s="484" t="s">
        <v>802</v>
      </c>
      <c r="B3" s="484"/>
      <c r="C3" s="484"/>
      <c r="D3" s="484"/>
    </row>
    <row r="4" spans="1:6" ht="16.5" x14ac:dyDescent="0.3">
      <c r="A4" s="486"/>
      <c r="B4" s="486"/>
      <c r="C4" s="485"/>
      <c r="D4" s="487" t="s">
        <v>497</v>
      </c>
    </row>
    <row r="5" spans="1:6" ht="82.5" x14ac:dyDescent="0.3">
      <c r="A5" s="488" t="s">
        <v>168</v>
      </c>
      <c r="B5" s="489" t="s">
        <v>169</v>
      </c>
      <c r="C5" s="490" t="s">
        <v>498</v>
      </c>
      <c r="D5" s="490" t="s">
        <v>499</v>
      </c>
    </row>
    <row r="6" spans="1:6" ht="24.95" customHeight="1" x14ac:dyDescent="0.25">
      <c r="A6" s="491">
        <v>1</v>
      </c>
      <c r="B6" s="492" t="s">
        <v>500</v>
      </c>
      <c r="C6" s="345">
        <v>5949</v>
      </c>
      <c r="D6" s="345">
        <f>C6</f>
        <v>5949</v>
      </c>
    </row>
    <row r="7" spans="1:6" ht="24.95" customHeight="1" x14ac:dyDescent="0.25">
      <c r="A7" s="491">
        <v>2</v>
      </c>
      <c r="B7" s="492" t="s">
        <v>501</v>
      </c>
      <c r="C7" s="345">
        <v>786.26</v>
      </c>
      <c r="D7" s="345">
        <f>C7</f>
        <v>786.26</v>
      </c>
    </row>
    <row r="8" spans="1:6" ht="24.95" customHeight="1" x14ac:dyDescent="0.25">
      <c r="A8" s="491">
        <v>3</v>
      </c>
      <c r="B8" s="492" t="s">
        <v>502</v>
      </c>
      <c r="C8" s="345">
        <v>736</v>
      </c>
      <c r="D8" s="345">
        <f>C8</f>
        <v>736</v>
      </c>
      <c r="E8" s="175"/>
    </row>
    <row r="9" spans="1:6" ht="24.95" customHeight="1" x14ac:dyDescent="0.3">
      <c r="A9" s="491">
        <v>4</v>
      </c>
      <c r="B9" s="493" t="s">
        <v>503</v>
      </c>
      <c r="C9" s="346">
        <f>C6+C7-C8</f>
        <v>5999.26</v>
      </c>
      <c r="D9" s="346">
        <f>D6+D7-D8</f>
        <v>5999.26</v>
      </c>
    </row>
    <row r="10" spans="1:6" ht="24.95" customHeight="1" x14ac:dyDescent="0.25">
      <c r="A10" s="491">
        <v>5</v>
      </c>
      <c r="B10" s="492" t="s">
        <v>504</v>
      </c>
      <c r="C10" s="345">
        <v>17304.07</v>
      </c>
      <c r="D10" s="345">
        <f>C10</f>
        <v>17304.07</v>
      </c>
      <c r="E10" s="175"/>
      <c r="F10" s="175"/>
    </row>
    <row r="11" spans="1:6" ht="24.95" customHeight="1" x14ac:dyDescent="0.25">
      <c r="A11" s="491">
        <v>6</v>
      </c>
      <c r="B11" s="492" t="s">
        <v>803</v>
      </c>
      <c r="C11" s="345">
        <f>C10-C9</f>
        <v>11304.81</v>
      </c>
      <c r="D11" s="345">
        <f>D10-D9</f>
        <v>11304.81</v>
      </c>
    </row>
    <row r="12" spans="1:6" ht="24.95" customHeight="1" x14ac:dyDescent="0.3">
      <c r="A12" s="489">
        <v>7</v>
      </c>
      <c r="B12" s="493" t="s">
        <v>505</v>
      </c>
      <c r="C12" s="346"/>
      <c r="D12" s="346">
        <v>45564.33</v>
      </c>
    </row>
    <row r="13" spans="1:6" ht="24.95" customHeight="1" x14ac:dyDescent="0.3">
      <c r="A13" s="489">
        <v>8</v>
      </c>
      <c r="B13" s="493" t="s">
        <v>804</v>
      </c>
      <c r="C13" s="346">
        <f>C12+C10</f>
        <v>17304.07</v>
      </c>
      <c r="D13" s="346">
        <f>D12+D11</f>
        <v>56869.14</v>
      </c>
      <c r="E13" s="175"/>
    </row>
    <row r="14" spans="1:6" ht="24.95" customHeight="1" x14ac:dyDescent="0.3">
      <c r="A14" s="491">
        <v>9</v>
      </c>
      <c r="B14" s="492" t="s">
        <v>805</v>
      </c>
      <c r="C14" s="346">
        <f>C13-C9</f>
        <v>11304.81</v>
      </c>
      <c r="D14" s="346">
        <f>D13</f>
        <v>56869.14</v>
      </c>
    </row>
    <row r="15" spans="1:6" ht="24.95" customHeight="1" x14ac:dyDescent="0.25">
      <c r="A15" s="491"/>
      <c r="B15" s="492" t="s">
        <v>506</v>
      </c>
      <c r="C15" s="345">
        <f>1030238091/100000</f>
        <v>10302.38091</v>
      </c>
      <c r="D15" s="345">
        <f>C15</f>
        <v>10302.38091</v>
      </c>
    </row>
    <row r="16" spans="1:6" ht="16.5" x14ac:dyDescent="0.3">
      <c r="A16" s="491"/>
      <c r="B16" s="492" t="s">
        <v>507</v>
      </c>
      <c r="C16" s="346">
        <f>C14/C15</f>
        <v>1.0973007209456789</v>
      </c>
      <c r="D16" s="346">
        <f>D14/D15</f>
        <v>5.5199997453792458</v>
      </c>
    </row>
    <row r="17" spans="1:4" ht="16.5" x14ac:dyDescent="0.3">
      <c r="A17" s="347"/>
      <c r="B17" s="494" t="s">
        <v>508</v>
      </c>
      <c r="C17" s="346">
        <f>C16*1087.93</f>
        <v>1193.7863733384324</v>
      </c>
      <c r="D17" s="346">
        <f>D16*1087.93</f>
        <v>6005.3733229904428</v>
      </c>
    </row>
    <row r="18" spans="1:4" ht="16.5" x14ac:dyDescent="0.3">
      <c r="A18" s="347"/>
      <c r="B18" s="494" t="s">
        <v>509</v>
      </c>
      <c r="C18" s="346">
        <f>D17-C17</f>
        <v>4811.5869496520099</v>
      </c>
      <c r="D18" s="347"/>
    </row>
    <row r="20" spans="1:4" x14ac:dyDescent="0.25">
      <c r="C20" s="176"/>
      <c r="D20" s="177"/>
    </row>
    <row r="21" spans="1:4" x14ac:dyDescent="0.25">
      <c r="D21" s="178"/>
    </row>
  </sheetData>
  <mergeCells count="2">
    <mergeCell ref="A1:D1"/>
    <mergeCell ref="A3:D3"/>
  </mergeCells>
  <pageMargins left="0.59055118110236227" right="0.59055118110236227" top="0.98425196850393704" bottom="0.98425196850393704" header="0.51181102362204722" footer="0.51181102362204722"/>
  <pageSetup orientation="portrait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1F899-8AD0-4559-ABF6-26B98141F69E}">
  <dimension ref="A1:J8"/>
  <sheetViews>
    <sheetView view="pageBreakPreview" zoomScaleSheetLayoutView="100" workbookViewId="0">
      <selection activeCell="F6" sqref="F6"/>
    </sheetView>
  </sheetViews>
  <sheetFormatPr defaultRowHeight="15" x14ac:dyDescent="0.25"/>
  <cols>
    <col min="1" max="1" width="6.85546875" customWidth="1"/>
    <col min="2" max="2" width="16.140625" customWidth="1"/>
    <col min="3" max="3" width="21.85546875" customWidth="1"/>
    <col min="4" max="4" width="18.5703125" customWidth="1"/>
    <col min="5" max="5" width="18.7109375" customWidth="1"/>
    <col min="6" max="6" width="17.140625" customWidth="1"/>
    <col min="7" max="7" width="17.85546875" customWidth="1"/>
    <col min="8" max="8" width="18.7109375" customWidth="1"/>
    <col min="10" max="10" width="15.28515625" bestFit="1" customWidth="1"/>
  </cols>
  <sheetData>
    <row r="1" spans="1:10" ht="30.75" customHeight="1" x14ac:dyDescent="0.25">
      <c r="A1" s="407" t="s">
        <v>481</v>
      </c>
      <c r="B1" s="407"/>
      <c r="C1" s="407"/>
      <c r="D1" s="407"/>
      <c r="E1" s="407"/>
      <c r="F1" s="407"/>
      <c r="G1" s="407"/>
      <c r="H1" s="407"/>
    </row>
    <row r="2" spans="1:10" ht="30.75" customHeight="1" x14ac:dyDescent="0.25">
      <c r="A2" s="408" t="s">
        <v>716</v>
      </c>
      <c r="B2" s="408"/>
      <c r="C2" s="408"/>
      <c r="D2" s="408"/>
      <c r="E2" s="408"/>
      <c r="F2" s="408"/>
      <c r="G2" s="408"/>
      <c r="H2" s="408"/>
    </row>
    <row r="3" spans="1:10" ht="63" customHeight="1" x14ac:dyDescent="0.25">
      <c r="A3" s="151" t="s">
        <v>482</v>
      </c>
      <c r="B3" s="151" t="s">
        <v>483</v>
      </c>
      <c r="C3" s="151" t="s">
        <v>484</v>
      </c>
      <c r="D3" s="151" t="s">
        <v>491</v>
      </c>
      <c r="E3" s="151" t="s">
        <v>485</v>
      </c>
      <c r="F3" s="151" t="s">
        <v>486</v>
      </c>
      <c r="G3" s="151" t="s">
        <v>487</v>
      </c>
      <c r="H3" s="151" t="s">
        <v>488</v>
      </c>
      <c r="I3" s="152"/>
      <c r="J3" s="152"/>
    </row>
    <row r="4" spans="1:10" ht="22.5" customHeight="1" x14ac:dyDescent="0.25">
      <c r="A4" s="151">
        <v>1</v>
      </c>
      <c r="B4" s="151">
        <v>2</v>
      </c>
      <c r="C4" s="151">
        <v>3</v>
      </c>
      <c r="D4" s="151">
        <v>4</v>
      </c>
      <c r="E4" s="151">
        <v>5</v>
      </c>
      <c r="F4" s="151" t="s">
        <v>493</v>
      </c>
      <c r="G4" s="151">
        <v>7</v>
      </c>
      <c r="H4" s="151">
        <v>8</v>
      </c>
      <c r="I4" s="152"/>
      <c r="J4" s="152"/>
    </row>
    <row r="5" spans="1:10" ht="20.100000000000001" customHeight="1" x14ac:dyDescent="0.25">
      <c r="A5" s="153">
        <v>1</v>
      </c>
      <c r="B5" s="153" t="s">
        <v>489</v>
      </c>
      <c r="C5" s="154">
        <v>175287754.44999999</v>
      </c>
      <c r="D5" s="154">
        <v>59613223.130000003</v>
      </c>
      <c r="E5" s="158">
        <v>80000000</v>
      </c>
      <c r="F5" s="159">
        <f>C5+D5-E5</f>
        <v>154900977.57999998</v>
      </c>
      <c r="G5" s="158">
        <v>125400000</v>
      </c>
      <c r="H5" s="158">
        <v>100000000</v>
      </c>
    </row>
    <row r="6" spans="1:10" ht="20.100000000000001" customHeight="1" x14ac:dyDescent="0.25">
      <c r="A6" s="153">
        <v>3</v>
      </c>
      <c r="B6" s="153" t="s">
        <v>492</v>
      </c>
      <c r="C6" s="154">
        <v>65176123.579999998</v>
      </c>
      <c r="D6" s="154">
        <v>38574161.950000003</v>
      </c>
      <c r="E6" s="158">
        <v>20000000</v>
      </c>
      <c r="F6" s="159">
        <f>C6+D6-E6</f>
        <v>83750285.530000001</v>
      </c>
      <c r="G6" s="158">
        <v>20000000</v>
      </c>
      <c r="H6" s="158">
        <v>20000000</v>
      </c>
    </row>
    <row r="7" spans="1:10" ht="20.100000000000001" customHeight="1" x14ac:dyDescent="0.25">
      <c r="A7" s="153">
        <v>5</v>
      </c>
      <c r="B7" s="153" t="s">
        <v>490</v>
      </c>
      <c r="C7" s="154">
        <v>273785767</v>
      </c>
      <c r="D7" s="155">
        <v>110000000</v>
      </c>
      <c r="E7" s="158">
        <v>100000000</v>
      </c>
      <c r="F7" s="159">
        <f>C7+D7-E7</f>
        <v>283785767</v>
      </c>
      <c r="G7" s="158">
        <v>120000000</v>
      </c>
      <c r="H7" s="158">
        <v>170000000</v>
      </c>
    </row>
    <row r="8" spans="1:10" ht="20.100000000000001" customHeight="1" x14ac:dyDescent="0.25">
      <c r="A8" s="153"/>
      <c r="B8" s="156" t="s">
        <v>339</v>
      </c>
      <c r="C8" s="157">
        <f>SUM(C5:C7)</f>
        <v>514249645.02999997</v>
      </c>
      <c r="D8" s="157">
        <f>SUM(D5:D7)</f>
        <v>208187385.08000001</v>
      </c>
      <c r="E8" s="160">
        <f>SUM(E5:E7)</f>
        <v>200000000</v>
      </c>
      <c r="F8" s="161">
        <f>C8+D8-E8</f>
        <v>522437030.11000001</v>
      </c>
      <c r="G8" s="161">
        <f>SUM(G5:G7)</f>
        <v>265400000</v>
      </c>
      <c r="H8" s="160">
        <f>SUM(H5:H7)</f>
        <v>290000000</v>
      </c>
    </row>
  </sheetData>
  <mergeCells count="2">
    <mergeCell ref="A1:H1"/>
    <mergeCell ref="A2:H2"/>
  </mergeCells>
  <printOptions horizontalCentered="1"/>
  <pageMargins left="0.86614173228346458" right="0.19685039370078741" top="0.78740157480314965" bottom="0.78740157480314965" header="0.31496062992125984" footer="0.31496062992125984"/>
  <pageSetup paperSize="9" scale="9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F2E34-A233-4A92-9305-DC9B45DA8B9D}">
  <dimension ref="A1:J155"/>
  <sheetViews>
    <sheetView zoomScale="130" zoomScaleNormal="130" workbookViewId="0">
      <selection activeCell="A4" sqref="A4:J4"/>
    </sheetView>
  </sheetViews>
  <sheetFormatPr defaultRowHeight="13.5" x14ac:dyDescent="0.25"/>
  <cols>
    <col min="1" max="1" width="4.5703125" style="188" customWidth="1"/>
    <col min="2" max="2" width="28.7109375" style="188" customWidth="1"/>
    <col min="3" max="3" width="13.28515625" style="188" customWidth="1"/>
    <col min="4" max="4" width="13.7109375" style="188" customWidth="1"/>
    <col min="5" max="6" width="12.7109375" style="188" customWidth="1"/>
    <col min="7" max="7" width="12.42578125" style="188" customWidth="1"/>
    <col min="8" max="8" width="11.5703125" style="188" customWidth="1"/>
    <col min="9" max="9" width="13" style="188" customWidth="1"/>
    <col min="10" max="10" width="14.28515625" style="188" customWidth="1"/>
    <col min="11" max="16384" width="9.140625" style="188"/>
  </cols>
  <sheetData>
    <row r="1" spans="1:10" ht="15.75" x14ac:dyDescent="0.25">
      <c r="A1" s="409" t="s">
        <v>162</v>
      </c>
      <c r="B1" s="409"/>
      <c r="C1" s="409"/>
      <c r="D1" s="409"/>
      <c r="E1" s="409"/>
      <c r="F1" s="409"/>
      <c r="G1" s="409"/>
      <c r="H1" s="409"/>
      <c r="I1" s="409"/>
      <c r="J1" s="409"/>
    </row>
    <row r="2" spans="1:10" ht="15.75" x14ac:dyDescent="0.25">
      <c r="A2" s="22"/>
      <c r="B2" s="22"/>
    </row>
    <row r="3" spans="1:10" ht="15.75" x14ac:dyDescent="0.25">
      <c r="A3" s="409" t="s">
        <v>165</v>
      </c>
      <c r="B3" s="409"/>
      <c r="C3" s="409"/>
      <c r="D3" s="409"/>
      <c r="E3" s="409"/>
      <c r="F3" s="409"/>
      <c r="G3" s="409"/>
      <c r="H3" s="409"/>
      <c r="I3" s="409"/>
      <c r="J3" s="409"/>
    </row>
    <row r="4" spans="1:10" ht="15.75" x14ac:dyDescent="0.25">
      <c r="A4" s="410" t="s">
        <v>717</v>
      </c>
      <c r="B4" s="410"/>
      <c r="C4" s="410"/>
      <c r="D4" s="410"/>
      <c r="E4" s="410"/>
      <c r="F4" s="410"/>
      <c r="G4" s="410"/>
      <c r="H4" s="410"/>
      <c r="I4" s="410"/>
      <c r="J4" s="410"/>
    </row>
    <row r="5" spans="1:10" ht="47.25" x14ac:dyDescent="0.25">
      <c r="A5" s="23" t="s">
        <v>168</v>
      </c>
      <c r="B5" s="24" t="s">
        <v>169</v>
      </c>
      <c r="C5" s="25" t="s">
        <v>170</v>
      </c>
      <c r="D5" s="25" t="s">
        <v>234</v>
      </c>
      <c r="E5" s="25" t="s">
        <v>235</v>
      </c>
      <c r="F5" s="25" t="s">
        <v>236</v>
      </c>
      <c r="G5" s="25" t="s">
        <v>237</v>
      </c>
      <c r="H5" s="25" t="s">
        <v>238</v>
      </c>
      <c r="I5" s="25" t="s">
        <v>171</v>
      </c>
      <c r="J5" s="25" t="s">
        <v>172</v>
      </c>
    </row>
    <row r="6" spans="1:10" ht="24.95" customHeight="1" x14ac:dyDescent="0.25">
      <c r="A6" s="26">
        <v>1</v>
      </c>
      <c r="B6" s="27" t="s">
        <v>175</v>
      </c>
      <c r="C6" s="28">
        <v>125381861</v>
      </c>
      <c r="D6" s="28">
        <v>114476919</v>
      </c>
      <c r="E6" s="29">
        <v>112386338</v>
      </c>
      <c r="F6" s="29">
        <v>155059965</v>
      </c>
      <c r="G6" s="29">
        <f>10849099+107904332+39397609+3152659+18081752+22492</f>
        <v>179407943</v>
      </c>
      <c r="H6" s="29">
        <f>13453132+107500868+39498406.2+2850461+18415983</f>
        <v>181718850.19999999</v>
      </c>
      <c r="I6" s="29">
        <v>208432792</v>
      </c>
      <c r="J6" s="29">
        <v>293473647</v>
      </c>
    </row>
    <row r="7" spans="1:10" ht="30" customHeight="1" x14ac:dyDescent="0.25">
      <c r="A7" s="26">
        <v>2</v>
      </c>
      <c r="B7" s="27" t="s">
        <v>178</v>
      </c>
      <c r="C7" s="28">
        <v>81388</v>
      </c>
      <c r="D7" s="28">
        <v>204922</v>
      </c>
      <c r="E7" s="28">
        <v>113004</v>
      </c>
      <c r="F7" s="29">
        <v>979800</v>
      </c>
      <c r="G7" s="29">
        <v>93394</v>
      </c>
      <c r="H7" s="29">
        <v>39788</v>
      </c>
      <c r="I7" s="29">
        <v>200000</v>
      </c>
      <c r="J7" s="29">
        <v>200000</v>
      </c>
    </row>
    <row r="8" spans="1:10" ht="36.75" customHeight="1" x14ac:dyDescent="0.25">
      <c r="A8" s="26">
        <v>3</v>
      </c>
      <c r="B8" s="27" t="s">
        <v>181</v>
      </c>
      <c r="C8" s="28">
        <v>10338425</v>
      </c>
      <c r="D8" s="28">
        <v>9153200</v>
      </c>
      <c r="E8" s="29">
        <v>9229294</v>
      </c>
      <c r="F8" s="28">
        <v>25458579</v>
      </c>
      <c r="G8" s="28">
        <v>14004339</v>
      </c>
      <c r="H8" s="28">
        <v>15687577</v>
      </c>
      <c r="I8" s="28">
        <v>17452500</v>
      </c>
      <c r="J8" s="28">
        <v>23925426</v>
      </c>
    </row>
    <row r="9" spans="1:10" ht="34.5" customHeight="1" x14ac:dyDescent="0.3">
      <c r="A9" s="26">
        <v>4</v>
      </c>
      <c r="B9" s="33" t="s">
        <v>184</v>
      </c>
      <c r="C9" s="28">
        <v>3435505</v>
      </c>
      <c r="D9" s="28">
        <v>3240905</v>
      </c>
      <c r="E9" s="28">
        <v>12497731</v>
      </c>
      <c r="F9" s="28">
        <v>12034961</v>
      </c>
      <c r="G9" s="28">
        <f>1911650+4118118</f>
        <v>6029768</v>
      </c>
      <c r="H9" s="28">
        <f>24351440+3477085</f>
        <v>27828525</v>
      </c>
      <c r="I9" s="28">
        <v>4151223</v>
      </c>
      <c r="J9" s="28">
        <v>4500000</v>
      </c>
    </row>
    <row r="10" spans="1:10" ht="40.5" customHeight="1" x14ac:dyDescent="0.25">
      <c r="A10" s="26">
        <v>5</v>
      </c>
      <c r="B10" s="34" t="s">
        <v>187</v>
      </c>
      <c r="C10" s="28">
        <f>4718613</f>
        <v>4718613</v>
      </c>
      <c r="D10" s="28">
        <v>2634815</v>
      </c>
      <c r="E10" s="28">
        <v>9238</v>
      </c>
      <c r="F10" s="28"/>
      <c r="G10" s="28">
        <v>4414495</v>
      </c>
      <c r="H10" s="28">
        <f>4041469+3151017</f>
        <v>7192486</v>
      </c>
      <c r="I10" s="28">
        <v>4500000</v>
      </c>
      <c r="J10" s="28">
        <v>1500000</v>
      </c>
    </row>
    <row r="11" spans="1:10" ht="30.75" customHeight="1" x14ac:dyDescent="0.25">
      <c r="A11" s="26">
        <v>6</v>
      </c>
      <c r="B11" s="34" t="s">
        <v>189</v>
      </c>
      <c r="C11" s="28">
        <v>5069744</v>
      </c>
      <c r="D11" s="28">
        <v>3147381</v>
      </c>
      <c r="E11" s="28">
        <v>300285</v>
      </c>
      <c r="F11" s="28"/>
      <c r="G11" s="28">
        <v>2341233</v>
      </c>
      <c r="H11" s="28">
        <f>557408+7718708</f>
        <v>8276116</v>
      </c>
      <c r="I11" s="28">
        <v>2500000</v>
      </c>
      <c r="J11" s="28">
        <v>1500000</v>
      </c>
    </row>
    <row r="12" spans="1:10" ht="24.95" customHeight="1" x14ac:dyDescent="0.25">
      <c r="A12" s="26">
        <v>7</v>
      </c>
      <c r="B12" s="27" t="s">
        <v>191</v>
      </c>
      <c r="C12" s="35"/>
      <c r="D12" s="35"/>
      <c r="E12" s="35"/>
      <c r="F12" s="35"/>
      <c r="G12" s="35"/>
      <c r="H12" s="35"/>
      <c r="I12" s="35"/>
      <c r="J12" s="35"/>
    </row>
    <row r="13" spans="1:10" ht="24.95" customHeight="1" x14ac:dyDescent="0.25">
      <c r="A13" s="26">
        <v>8</v>
      </c>
      <c r="B13" s="27" t="s">
        <v>193</v>
      </c>
      <c r="C13" s="28">
        <v>81000</v>
      </c>
      <c r="D13" s="28">
        <v>103500</v>
      </c>
      <c r="E13" s="28">
        <v>266000</v>
      </c>
      <c r="F13" s="28">
        <v>470000</v>
      </c>
      <c r="G13" s="28">
        <v>74000</v>
      </c>
      <c r="H13" s="28">
        <v>63000</v>
      </c>
      <c r="I13" s="28"/>
      <c r="J13" s="28"/>
    </row>
    <row r="14" spans="1:10" ht="24.95" customHeight="1" x14ac:dyDescent="0.25">
      <c r="A14" s="26">
        <v>9</v>
      </c>
      <c r="B14" s="27" t="s">
        <v>195</v>
      </c>
      <c r="C14" s="35"/>
      <c r="D14" s="35"/>
      <c r="E14" s="35"/>
      <c r="F14" s="35"/>
      <c r="G14" s="35"/>
      <c r="H14" s="35"/>
      <c r="I14" s="35"/>
      <c r="J14" s="35"/>
    </row>
    <row r="15" spans="1:10" ht="24.95" customHeight="1" x14ac:dyDescent="0.25">
      <c r="A15" s="26"/>
      <c r="B15" s="37" t="s">
        <v>247</v>
      </c>
      <c r="C15" s="38">
        <f>SUM(C6:C13)</f>
        <v>149106536</v>
      </c>
      <c r="D15" s="38">
        <f>SUM(D6:D14)</f>
        <v>132961642</v>
      </c>
      <c r="E15" s="38">
        <f t="shared" ref="E15:J15" si="0">SUM(E6:E13)</f>
        <v>134801890</v>
      </c>
      <c r="F15" s="38">
        <f t="shared" si="0"/>
        <v>194003305</v>
      </c>
      <c r="G15" s="38">
        <f t="shared" si="0"/>
        <v>206365172</v>
      </c>
      <c r="H15" s="38">
        <f t="shared" si="0"/>
        <v>240806342.19999999</v>
      </c>
      <c r="I15" s="38">
        <f t="shared" si="0"/>
        <v>237236515</v>
      </c>
      <c r="J15" s="38">
        <f t="shared" si="0"/>
        <v>325099073</v>
      </c>
    </row>
    <row r="16" spans="1:10" ht="24.95" customHeight="1" x14ac:dyDescent="0.25">
      <c r="A16" s="26">
        <v>10</v>
      </c>
      <c r="B16" s="27" t="s">
        <v>240</v>
      </c>
      <c r="C16" s="28">
        <v>6579385</v>
      </c>
      <c r="D16" s="28"/>
      <c r="E16" s="28">
        <v>1470658</v>
      </c>
      <c r="F16" s="28">
        <v>2080602</v>
      </c>
      <c r="G16" s="28"/>
      <c r="H16" s="28">
        <v>1672409</v>
      </c>
      <c r="I16" s="28">
        <v>15000000</v>
      </c>
      <c r="J16" s="28">
        <v>20000000</v>
      </c>
    </row>
    <row r="17" spans="1:10" ht="24.95" customHeight="1" x14ac:dyDescent="0.25">
      <c r="A17" s="26">
        <v>11</v>
      </c>
      <c r="B17" s="27" t="s">
        <v>241</v>
      </c>
      <c r="C17" s="28">
        <v>6197415</v>
      </c>
      <c r="D17" s="28">
        <v>19384129</v>
      </c>
      <c r="E17" s="28">
        <v>5695763</v>
      </c>
      <c r="F17" s="28">
        <v>6584892</v>
      </c>
      <c r="G17" s="28">
        <v>9722048</v>
      </c>
      <c r="H17" s="28">
        <v>10287543</v>
      </c>
      <c r="I17" s="28">
        <v>15000000</v>
      </c>
      <c r="J17" s="28">
        <v>15000000</v>
      </c>
    </row>
    <row r="18" spans="1:10" ht="38.25" customHeight="1" x14ac:dyDescent="0.25">
      <c r="A18" s="26">
        <v>12</v>
      </c>
      <c r="B18" s="34" t="s">
        <v>242</v>
      </c>
      <c r="C18" s="29">
        <v>19524846.25</v>
      </c>
      <c r="D18" s="29">
        <v>16559577.24</v>
      </c>
      <c r="E18" s="43">
        <v>23749066</v>
      </c>
      <c r="F18" s="29">
        <v>40062693</v>
      </c>
      <c r="G18" s="29">
        <v>33439043</v>
      </c>
      <c r="H18" s="29">
        <v>25325720.050000001</v>
      </c>
      <c r="I18" s="29">
        <v>21329971</v>
      </c>
      <c r="J18" s="29">
        <v>23345000</v>
      </c>
    </row>
    <row r="19" spans="1:10" ht="30.75" customHeight="1" x14ac:dyDescent="0.25">
      <c r="A19" s="26">
        <v>13</v>
      </c>
      <c r="B19" s="34" t="s">
        <v>243</v>
      </c>
      <c r="C19" s="29">
        <v>34418262.989999995</v>
      </c>
      <c r="D19" s="29">
        <v>33587169.160000004</v>
      </c>
      <c r="E19" s="43">
        <v>30383232.949999996</v>
      </c>
      <c r="F19" s="29">
        <v>35119341.129999995</v>
      </c>
      <c r="G19" s="29">
        <v>27606122.850000001</v>
      </c>
      <c r="H19" s="29">
        <v>29921705.989999998</v>
      </c>
      <c r="I19" s="29">
        <v>36136600</v>
      </c>
      <c r="J19" s="29">
        <v>40036600</v>
      </c>
    </row>
    <row r="20" spans="1:10" ht="24.95" customHeight="1" x14ac:dyDescent="0.25">
      <c r="A20" s="26">
        <v>14</v>
      </c>
      <c r="B20" s="27" t="s">
        <v>244</v>
      </c>
      <c r="C20" s="29">
        <v>804236</v>
      </c>
      <c r="D20" s="29">
        <v>319333</v>
      </c>
      <c r="E20" s="43">
        <v>687000</v>
      </c>
      <c r="F20" s="29">
        <v>2490711</v>
      </c>
      <c r="G20" s="29">
        <v>1761732</v>
      </c>
      <c r="H20" s="29">
        <v>1534550</v>
      </c>
      <c r="I20" s="29">
        <v>1320000</v>
      </c>
      <c r="J20" s="29">
        <v>1320000</v>
      </c>
    </row>
    <row r="21" spans="1:10" ht="24.95" customHeight="1" x14ac:dyDescent="0.25">
      <c r="A21" s="26">
        <v>15</v>
      </c>
      <c r="B21" s="27" t="s">
        <v>245</v>
      </c>
      <c r="C21" s="29">
        <v>925150</v>
      </c>
      <c r="D21" s="29">
        <v>691271</v>
      </c>
      <c r="E21" s="43">
        <v>474294</v>
      </c>
      <c r="F21" s="29">
        <v>203026</v>
      </c>
      <c r="G21" s="29">
        <v>3723695</v>
      </c>
      <c r="H21" s="29">
        <v>6152679.9500000002</v>
      </c>
      <c r="I21" s="29">
        <v>28224569</v>
      </c>
      <c r="J21" s="29">
        <v>26799569</v>
      </c>
    </row>
    <row r="22" spans="1:10" ht="24.95" customHeight="1" x14ac:dyDescent="0.25">
      <c r="A22" s="26">
        <v>16</v>
      </c>
      <c r="B22" s="27" t="s">
        <v>707</v>
      </c>
      <c r="C22" s="29">
        <v>3586293</v>
      </c>
      <c r="D22" s="29">
        <v>3811503</v>
      </c>
      <c r="E22" s="43">
        <v>4088047</v>
      </c>
      <c r="F22" s="29">
        <v>4498247</v>
      </c>
      <c r="G22" s="29">
        <v>4902434</v>
      </c>
      <c r="H22" s="29">
        <v>5235136</v>
      </c>
      <c r="I22" s="29">
        <v>5645569</v>
      </c>
      <c r="J22" s="29">
        <v>5907000</v>
      </c>
    </row>
    <row r="23" spans="1:10" ht="24.95" customHeight="1" x14ac:dyDescent="0.25">
      <c r="A23" s="26">
        <v>17</v>
      </c>
      <c r="B23" s="27" t="s">
        <v>246</v>
      </c>
      <c r="C23" s="29">
        <v>783000</v>
      </c>
      <c r="D23" s="29">
        <v>770000</v>
      </c>
      <c r="E23" s="43">
        <v>705280</v>
      </c>
      <c r="F23" s="29">
        <v>309750</v>
      </c>
      <c r="G23" s="29"/>
      <c r="H23" s="29">
        <v>49926</v>
      </c>
      <c r="I23" s="29">
        <v>600000</v>
      </c>
      <c r="J23" s="29">
        <v>800000</v>
      </c>
    </row>
    <row r="24" spans="1:10" ht="24.95" customHeight="1" x14ac:dyDescent="0.25">
      <c r="A24" s="26">
        <v>18</v>
      </c>
      <c r="B24" s="27" t="s">
        <v>161</v>
      </c>
      <c r="C24" s="29">
        <v>35007695.600000001</v>
      </c>
      <c r="D24" s="29">
        <v>40543497.359999999</v>
      </c>
      <c r="E24" s="43">
        <v>42744350.719999999</v>
      </c>
      <c r="F24" s="29">
        <v>39130847.700000003</v>
      </c>
      <c r="G24" s="29">
        <v>68418377.640000001</v>
      </c>
      <c r="H24" s="29">
        <v>84041519.359999999</v>
      </c>
      <c r="I24" s="29">
        <v>90890767.150000006</v>
      </c>
      <c r="J24" s="29">
        <v>13212409.619999999</v>
      </c>
    </row>
    <row r="25" spans="1:10" ht="24.95" customHeight="1" x14ac:dyDescent="0.25">
      <c r="A25" s="147">
        <v>19</v>
      </c>
      <c r="B25" s="148" t="s">
        <v>480</v>
      </c>
      <c r="C25" s="149">
        <v>85412200.409999996</v>
      </c>
      <c r="D25" s="149">
        <v>160804269.43000001</v>
      </c>
      <c r="E25" s="150">
        <v>115087862.27</v>
      </c>
      <c r="F25" s="149">
        <v>271767585.88</v>
      </c>
      <c r="G25" s="149">
        <v>490807400.85000002</v>
      </c>
      <c r="H25" s="149">
        <v>320920665.79000002</v>
      </c>
      <c r="I25" s="149">
        <v>265480000</v>
      </c>
      <c r="J25" s="149">
        <v>290000000</v>
      </c>
    </row>
    <row r="26" spans="1:10" ht="24.95" customHeight="1" x14ac:dyDescent="0.25">
      <c r="A26" s="26"/>
      <c r="B26" s="37" t="s">
        <v>248</v>
      </c>
      <c r="C26" s="42">
        <f>SUM(C16:C25)</f>
        <v>193238484.25</v>
      </c>
      <c r="D26" s="42">
        <f t="shared" ref="D26:J26" si="1">SUM(D16:D25)</f>
        <v>276470749.19</v>
      </c>
      <c r="E26" s="42">
        <f t="shared" si="1"/>
        <v>225085553.94</v>
      </c>
      <c r="F26" s="42">
        <f t="shared" si="1"/>
        <v>402247695.70999998</v>
      </c>
      <c r="G26" s="42">
        <f t="shared" si="1"/>
        <v>640380853.34000003</v>
      </c>
      <c r="H26" s="42">
        <f t="shared" si="1"/>
        <v>485141855.13999999</v>
      </c>
      <c r="I26" s="42">
        <f t="shared" si="1"/>
        <v>479627476.14999998</v>
      </c>
      <c r="J26" s="42">
        <f t="shared" si="1"/>
        <v>436420578.62</v>
      </c>
    </row>
    <row r="27" spans="1:10" ht="24.95" customHeight="1" x14ac:dyDescent="0.25">
      <c r="A27" s="26"/>
      <c r="B27" s="37" t="s">
        <v>249</v>
      </c>
      <c r="C27" s="38">
        <f>C26+C15</f>
        <v>342345020.25</v>
      </c>
      <c r="D27" s="38">
        <f t="shared" ref="D27:J27" si="2">D26+D15</f>
        <v>409432391.19</v>
      </c>
      <c r="E27" s="38">
        <f t="shared" si="2"/>
        <v>359887443.94</v>
      </c>
      <c r="F27" s="38">
        <f t="shared" si="2"/>
        <v>596251000.71000004</v>
      </c>
      <c r="G27" s="38">
        <f t="shared" si="2"/>
        <v>846746025.34000003</v>
      </c>
      <c r="H27" s="38">
        <f t="shared" si="2"/>
        <v>725948197.33999991</v>
      </c>
      <c r="I27" s="38">
        <f t="shared" si="2"/>
        <v>716863991.14999998</v>
      </c>
      <c r="J27" s="38">
        <f t="shared" si="2"/>
        <v>761519651.62</v>
      </c>
    </row>
    <row r="28" spans="1:10" x14ac:dyDescent="0.25">
      <c r="A28" s="189"/>
      <c r="E28" s="190"/>
      <c r="H28" s="191"/>
    </row>
    <row r="29" spans="1:10" x14ac:dyDescent="0.25">
      <c r="A29" s="189"/>
      <c r="E29" s="190"/>
      <c r="F29" s="190"/>
      <c r="G29" s="190"/>
      <c r="H29" s="192"/>
      <c r="I29" s="190"/>
      <c r="J29" s="190"/>
    </row>
    <row r="30" spans="1:10" x14ac:dyDescent="0.25">
      <c r="A30" s="189"/>
      <c r="E30" s="190"/>
      <c r="F30" s="190"/>
      <c r="G30" s="190"/>
      <c r="H30" s="190"/>
      <c r="I30" s="190"/>
      <c r="J30" s="190"/>
    </row>
    <row r="31" spans="1:10" x14ac:dyDescent="0.25">
      <c r="A31" s="189"/>
    </row>
    <row r="32" spans="1:10" x14ac:dyDescent="0.25">
      <c r="A32" s="189"/>
      <c r="F32" s="190"/>
      <c r="G32" s="190"/>
      <c r="H32" s="190"/>
      <c r="I32" s="190"/>
      <c r="J32" s="190"/>
    </row>
    <row r="33" spans="9:9" ht="46.5" customHeight="1" x14ac:dyDescent="0.25">
      <c r="I33" s="193"/>
    </row>
    <row r="100" spans="3:5" x14ac:dyDescent="0.25">
      <c r="C100" s="40"/>
      <c r="D100" s="30"/>
      <c r="E100" s="41"/>
    </row>
    <row r="101" spans="3:5" x14ac:dyDescent="0.25">
      <c r="C101" s="40"/>
      <c r="D101" s="30"/>
      <c r="E101" s="30"/>
    </row>
    <row r="115" spans="2:2" ht="20.100000000000001" customHeight="1" x14ac:dyDescent="0.25"/>
    <row r="116" spans="2:2" ht="20.100000000000001" customHeight="1" x14ac:dyDescent="0.25"/>
    <row r="117" spans="2:2" ht="20.100000000000001" customHeight="1" x14ac:dyDescent="0.25"/>
    <row r="118" spans="2:2" ht="20.100000000000001" customHeight="1" x14ac:dyDescent="0.25"/>
    <row r="119" spans="2:2" ht="20.100000000000001" customHeight="1" x14ac:dyDescent="0.25"/>
    <row r="120" spans="2:2" ht="20.100000000000001" customHeight="1" x14ac:dyDescent="0.25"/>
    <row r="121" spans="2:2" ht="20.100000000000001" customHeight="1" x14ac:dyDescent="0.25"/>
    <row r="122" spans="2:2" ht="20.100000000000001" customHeight="1" x14ac:dyDescent="0.25"/>
    <row r="123" spans="2:2" ht="20.100000000000001" customHeight="1" x14ac:dyDescent="0.25"/>
    <row r="124" spans="2:2" ht="20.100000000000001" customHeight="1" x14ac:dyDescent="0.25"/>
    <row r="125" spans="2:2" ht="30" customHeight="1" x14ac:dyDescent="0.25">
      <c r="B125" s="194"/>
    </row>
    <row r="126" spans="2:2" ht="32.25" customHeight="1" x14ac:dyDescent="0.25">
      <c r="B126" s="194"/>
    </row>
    <row r="127" spans="2:2" ht="18" customHeight="1" x14ac:dyDescent="0.25">
      <c r="B127" s="194"/>
    </row>
    <row r="128" spans="2:2" ht="20.100000000000001" customHeight="1" x14ac:dyDescent="0.25">
      <c r="B128" s="195"/>
    </row>
    <row r="129" spans="2:5" ht="20.100000000000001" customHeight="1" x14ac:dyDescent="0.25">
      <c r="B129" s="196"/>
      <c r="C129" s="30"/>
      <c r="D129" s="30"/>
      <c r="E129" s="30"/>
    </row>
    <row r="130" spans="2:5" ht="20.100000000000001" customHeight="1" x14ac:dyDescent="0.25">
      <c r="B130" s="196"/>
      <c r="C130" s="30"/>
      <c r="D130" s="30"/>
      <c r="E130" s="30"/>
    </row>
    <row r="131" spans="2:5" ht="20.100000000000001" customHeight="1" x14ac:dyDescent="0.25">
      <c r="B131" s="196"/>
      <c r="C131" s="30"/>
      <c r="D131" s="30"/>
      <c r="E131" s="30"/>
    </row>
    <row r="132" spans="2:5" ht="20.100000000000001" customHeight="1" x14ac:dyDescent="0.25">
      <c r="B132" s="196"/>
      <c r="C132" s="30"/>
      <c r="D132" s="30"/>
      <c r="E132" s="30"/>
    </row>
    <row r="133" spans="2:5" ht="20.100000000000001" customHeight="1" x14ac:dyDescent="0.25">
      <c r="B133" s="196"/>
      <c r="C133" s="30"/>
      <c r="D133" s="30"/>
      <c r="E133" s="30"/>
    </row>
    <row r="134" spans="2:5" ht="20.100000000000001" customHeight="1" x14ac:dyDescent="0.25">
      <c r="B134" s="196"/>
      <c r="C134" s="30"/>
      <c r="D134" s="30"/>
      <c r="E134" s="30"/>
    </row>
    <row r="135" spans="2:5" ht="20.100000000000001" customHeight="1" x14ac:dyDescent="0.25">
      <c r="B135" s="196"/>
      <c r="C135" s="30"/>
      <c r="D135" s="30"/>
      <c r="E135" s="30"/>
    </row>
    <row r="136" spans="2:5" ht="20.100000000000001" customHeight="1" x14ac:dyDescent="0.25">
      <c r="B136" s="196"/>
      <c r="C136" s="30"/>
      <c r="D136" s="30"/>
      <c r="E136" s="30"/>
    </row>
    <row r="137" spans="2:5" ht="20.100000000000001" customHeight="1" x14ac:dyDescent="0.25">
      <c r="B137" s="196"/>
      <c r="C137" s="30"/>
      <c r="D137" s="30"/>
      <c r="E137" s="30"/>
    </row>
    <row r="138" spans="2:5" ht="20.100000000000001" customHeight="1" x14ac:dyDescent="0.25">
      <c r="B138" s="196"/>
      <c r="C138" s="30"/>
      <c r="D138" s="30"/>
      <c r="E138" s="30"/>
    </row>
    <row r="139" spans="2:5" ht="20.100000000000001" customHeight="1" x14ac:dyDescent="0.25">
      <c r="B139" s="197"/>
    </row>
    <row r="140" spans="2:5" ht="20.100000000000001" customHeight="1" x14ac:dyDescent="0.25">
      <c r="B140" s="196"/>
    </row>
    <row r="141" spans="2:5" ht="20.100000000000001" customHeight="1" x14ac:dyDescent="0.25">
      <c r="B141" s="196"/>
    </row>
    <row r="142" spans="2:5" ht="20.100000000000001" customHeight="1" x14ac:dyDescent="0.25">
      <c r="B142" s="196"/>
    </row>
    <row r="143" spans="2:5" ht="20.100000000000001" customHeight="1" x14ac:dyDescent="0.25">
      <c r="B143" s="196"/>
    </row>
    <row r="144" spans="2:5" ht="20.100000000000001" customHeight="1" x14ac:dyDescent="0.25">
      <c r="B144" s="198"/>
    </row>
    <row r="145" spans="1:2" ht="20.100000000000001" customHeight="1" x14ac:dyDescent="0.25">
      <c r="B145" s="195"/>
    </row>
    <row r="146" spans="1:2" ht="39" customHeight="1" x14ac:dyDescent="0.25">
      <c r="B146" s="194"/>
    </row>
    <row r="147" spans="1:2" x14ac:dyDescent="0.25">
      <c r="B147" s="194"/>
    </row>
    <row r="148" spans="1:2" x14ac:dyDescent="0.25">
      <c r="A148" s="193"/>
      <c r="B148" s="199"/>
    </row>
    <row r="149" spans="1:2" x14ac:dyDescent="0.25">
      <c r="A149" s="193"/>
      <c r="B149" s="200"/>
    </row>
    <row r="150" spans="1:2" x14ac:dyDescent="0.25">
      <c r="A150" s="193"/>
      <c r="B150" s="200"/>
    </row>
    <row r="151" spans="1:2" ht="20.100000000000001" customHeight="1" x14ac:dyDescent="0.25"/>
    <row r="152" spans="1:2" ht="30" customHeight="1" x14ac:dyDescent="0.25"/>
    <row r="153" spans="1:2" ht="20.100000000000001" customHeight="1" x14ac:dyDescent="0.25"/>
    <row r="154" spans="1:2" ht="20.100000000000001" customHeight="1" x14ac:dyDescent="0.25"/>
    <row r="155" spans="1:2" ht="20.100000000000001" customHeight="1" x14ac:dyDescent="0.25"/>
  </sheetData>
  <mergeCells count="3">
    <mergeCell ref="A1:J1"/>
    <mergeCell ref="A3:J3"/>
    <mergeCell ref="A4:J4"/>
  </mergeCells>
  <printOptions horizontalCentered="1"/>
  <pageMargins left="0.39370078740157483" right="0.39370078740157483" top="0.98425196850393704" bottom="0.98425196850393704" header="0.51181102362204722" footer="0.51181102362204722"/>
  <pageSetup paperSize="9" orientation="landscape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87AA4-2CCF-4116-B1CB-9EB30760A0B0}">
  <dimension ref="A1:G130"/>
  <sheetViews>
    <sheetView zoomScale="130" zoomScaleNormal="130" workbookViewId="0">
      <selection activeCell="A36" sqref="A36:B36"/>
    </sheetView>
  </sheetViews>
  <sheetFormatPr defaultRowHeight="12.75" x14ac:dyDescent="0.25"/>
  <cols>
    <col min="1" max="1" width="30.7109375" style="201" bestFit="1" customWidth="1"/>
    <col min="2" max="2" width="17.28515625" style="201" bestFit="1" customWidth="1"/>
    <col min="3" max="3" width="22.7109375" style="201" customWidth="1"/>
    <col min="4" max="4" width="33.85546875" style="201" customWidth="1"/>
    <col min="5" max="5" width="20.42578125" style="201" customWidth="1"/>
    <col min="6" max="6" width="13.28515625" style="201" bestFit="1" customWidth="1"/>
    <col min="7" max="7" width="10" style="201" bestFit="1" customWidth="1"/>
    <col min="8" max="16384" width="9.140625" style="201"/>
  </cols>
  <sheetData>
    <row r="1" spans="1:7" ht="13.5" x14ac:dyDescent="0.25">
      <c r="C1" s="202" t="s">
        <v>163</v>
      </c>
      <c r="D1" s="203" t="s">
        <v>250</v>
      </c>
      <c r="E1" s="204" t="s">
        <v>164</v>
      </c>
    </row>
    <row r="2" spans="1:7" ht="13.5" x14ac:dyDescent="0.25">
      <c r="C2" s="202"/>
      <c r="D2" s="203"/>
      <c r="E2" s="205"/>
    </row>
    <row r="3" spans="1:7" ht="13.5" x14ac:dyDescent="0.25">
      <c r="C3" s="205"/>
      <c r="D3" s="203"/>
      <c r="E3" s="205"/>
      <c r="F3" s="206"/>
      <c r="G3" s="206"/>
    </row>
    <row r="4" spans="1:7" ht="13.5" x14ac:dyDescent="0.25">
      <c r="A4" s="412" t="s">
        <v>166</v>
      </c>
      <c r="B4" s="412"/>
      <c r="C4" s="205" t="s">
        <v>167</v>
      </c>
      <c r="D4" s="207">
        <v>22916515</v>
      </c>
      <c r="E4" s="207">
        <f t="shared" ref="E4:E13" si="0">D4*8.5%</f>
        <v>1947903.7750000001</v>
      </c>
    </row>
    <row r="5" spans="1:7" ht="15.75" x14ac:dyDescent="0.25">
      <c r="A5" s="208" t="s">
        <v>173</v>
      </c>
      <c r="B5" s="209">
        <v>1136282</v>
      </c>
      <c r="C5" s="205" t="s">
        <v>174</v>
      </c>
      <c r="D5" s="207">
        <v>22916515</v>
      </c>
      <c r="E5" s="207">
        <f t="shared" si="0"/>
        <v>1947903.7750000001</v>
      </c>
    </row>
    <row r="6" spans="1:7" ht="24.95" customHeight="1" x14ac:dyDescent="0.25">
      <c r="A6" s="210" t="s">
        <v>176</v>
      </c>
      <c r="B6" s="209">
        <v>822500</v>
      </c>
      <c r="C6" s="205" t="s">
        <v>177</v>
      </c>
      <c r="D6" s="207">
        <v>22916515</v>
      </c>
      <c r="E6" s="207">
        <f t="shared" si="0"/>
        <v>1947903.7750000001</v>
      </c>
      <c r="F6" s="211"/>
      <c r="G6" s="212"/>
    </row>
    <row r="7" spans="1:7" ht="30" customHeight="1" x14ac:dyDescent="0.25">
      <c r="A7" s="213" t="s">
        <v>179</v>
      </c>
      <c r="B7" s="209">
        <v>1468501</v>
      </c>
      <c r="C7" s="205" t="s">
        <v>180</v>
      </c>
      <c r="D7" s="207">
        <v>23456295</v>
      </c>
      <c r="E7" s="207">
        <f t="shared" si="0"/>
        <v>1993785.0750000002</v>
      </c>
      <c r="F7" s="214"/>
      <c r="G7" s="215"/>
    </row>
    <row r="8" spans="1:7" ht="36.75" customHeight="1" x14ac:dyDescent="0.25">
      <c r="A8" s="213" t="s">
        <v>182</v>
      </c>
      <c r="B8" s="209">
        <v>723940</v>
      </c>
      <c r="C8" s="216" t="s">
        <v>183</v>
      </c>
      <c r="D8" s="207">
        <v>23456295</v>
      </c>
      <c r="E8" s="207">
        <f t="shared" si="0"/>
        <v>1993785.0750000002</v>
      </c>
      <c r="F8" s="211"/>
      <c r="G8" s="217"/>
    </row>
    <row r="9" spans="1:7" ht="34.5" customHeight="1" x14ac:dyDescent="0.25">
      <c r="A9" s="218" t="s">
        <v>239</v>
      </c>
      <c r="B9" s="219">
        <f>SUM(B5:B8)</f>
        <v>4151223</v>
      </c>
      <c r="C9" s="216" t="s">
        <v>186</v>
      </c>
      <c r="D9" s="207">
        <v>23456295</v>
      </c>
      <c r="E9" s="207">
        <f t="shared" si="0"/>
        <v>1993785.0750000002</v>
      </c>
      <c r="F9" s="220"/>
      <c r="G9" s="217"/>
    </row>
    <row r="10" spans="1:7" ht="15.75" customHeight="1" x14ac:dyDescent="0.25">
      <c r="A10" s="221"/>
      <c r="B10" s="222"/>
      <c r="C10" s="216" t="s">
        <v>188</v>
      </c>
      <c r="D10" s="207">
        <v>23456295</v>
      </c>
      <c r="E10" s="207">
        <f t="shared" si="0"/>
        <v>1993785.0750000002</v>
      </c>
      <c r="F10" s="211"/>
      <c r="G10" s="217"/>
    </row>
    <row r="11" spans="1:7" ht="30.75" customHeight="1" x14ac:dyDescent="0.25">
      <c r="A11" s="412" t="s">
        <v>200</v>
      </c>
      <c r="B11" s="412"/>
      <c r="C11" s="216" t="s">
        <v>190</v>
      </c>
      <c r="D11" s="207">
        <v>23456295</v>
      </c>
      <c r="E11" s="207">
        <f t="shared" si="0"/>
        <v>1993785.0750000002</v>
      </c>
      <c r="F11" s="211"/>
      <c r="G11" s="217"/>
    </row>
    <row r="12" spans="1:7" ht="24.95" customHeight="1" x14ac:dyDescent="0.25">
      <c r="A12" s="223" t="s">
        <v>201</v>
      </c>
      <c r="B12" s="209">
        <f>12695450+67509740+1136282+24867175+1465127+10715626+16398006</f>
        <v>134787406</v>
      </c>
      <c r="C12" s="216" t="s">
        <v>192</v>
      </c>
      <c r="D12" s="207">
        <f t="shared" ref="D12" si="1">D11+G12</f>
        <v>23456295</v>
      </c>
      <c r="E12" s="207">
        <f t="shared" si="0"/>
        <v>1993785.0750000002</v>
      </c>
      <c r="F12" s="211"/>
      <c r="G12" s="217"/>
    </row>
    <row r="13" spans="1:7" ht="31.5" customHeight="1" x14ac:dyDescent="0.25">
      <c r="A13" s="224" t="s">
        <v>202</v>
      </c>
      <c r="B13" s="209">
        <f>32796012+33393236</f>
        <v>66189248</v>
      </c>
      <c r="C13" s="216" t="s">
        <v>194</v>
      </c>
      <c r="D13" s="225">
        <v>23996095</v>
      </c>
      <c r="E13" s="207">
        <f t="shared" si="0"/>
        <v>2039668.0750000002</v>
      </c>
      <c r="F13" s="214"/>
      <c r="G13" s="226"/>
    </row>
    <row r="14" spans="1:7" ht="24.95" customHeight="1" x14ac:dyDescent="0.25">
      <c r="A14" s="227" t="s">
        <v>203</v>
      </c>
      <c r="B14" s="209">
        <f>B17</f>
        <v>7456137.4211999997</v>
      </c>
      <c r="C14" s="216" t="s">
        <v>196</v>
      </c>
      <c r="D14" s="225">
        <f>D13/2</f>
        <v>11998047.5</v>
      </c>
      <c r="E14" s="207"/>
    </row>
    <row r="15" spans="1:7" ht="24.95" customHeight="1" x14ac:dyDescent="0.25">
      <c r="A15" s="228" t="s">
        <v>185</v>
      </c>
      <c r="B15" s="219">
        <f>SUM(B12:B14)</f>
        <v>208432791.42120001</v>
      </c>
      <c r="C15" s="216" t="s">
        <v>197</v>
      </c>
      <c r="D15" s="225">
        <f>D13</f>
        <v>23996095</v>
      </c>
      <c r="E15" s="207">
        <f>D15*8.5%</f>
        <v>2039668.0750000002</v>
      </c>
    </row>
    <row r="16" spans="1:7" ht="12" customHeight="1" x14ac:dyDescent="0.25">
      <c r="C16" s="216"/>
      <c r="D16" s="225"/>
      <c r="E16" s="207"/>
    </row>
    <row r="17" spans="1:6" ht="24.95" customHeight="1" x14ac:dyDescent="0.25">
      <c r="A17" s="229" t="s">
        <v>204</v>
      </c>
      <c r="B17" s="201">
        <f>B18/2</f>
        <v>7456137.4211999997</v>
      </c>
      <c r="C17" s="216"/>
      <c r="D17" s="225"/>
      <c r="E17" s="207"/>
    </row>
    <row r="18" spans="1:6" ht="38.25" customHeight="1" x14ac:dyDescent="0.25">
      <c r="A18" s="201" t="s">
        <v>205</v>
      </c>
      <c r="B18" s="230">
        <f>B23+B24+B25</f>
        <v>14912274.842399999</v>
      </c>
      <c r="C18" s="216" t="s">
        <v>198</v>
      </c>
      <c r="D18" s="225">
        <f>D15</f>
        <v>23996095</v>
      </c>
      <c r="E18" s="207">
        <f>D18*8.5%</f>
        <v>2039668.0750000002</v>
      </c>
    </row>
    <row r="19" spans="1:6" ht="24.95" customHeight="1" x14ac:dyDescent="0.25">
      <c r="A19" s="230"/>
      <c r="C19" s="202" t="s">
        <v>199</v>
      </c>
      <c r="D19" s="225">
        <f>SUM(D4:D18)</f>
        <v>293473647.5</v>
      </c>
      <c r="E19" s="225">
        <f>SUM(E4:E18)+0.67</f>
        <v>23925426.669999998</v>
      </c>
    </row>
    <row r="20" spans="1:6" ht="13.5" x14ac:dyDescent="0.25">
      <c r="C20" s="211"/>
      <c r="D20" s="211"/>
      <c r="E20" s="231"/>
    </row>
    <row r="22" spans="1:6" x14ac:dyDescent="0.25">
      <c r="A22" s="411" t="s">
        <v>206</v>
      </c>
      <c r="B22" s="411"/>
    </row>
    <row r="23" spans="1:6" ht="13.5" x14ac:dyDescent="0.25">
      <c r="A23" s="232" t="s">
        <v>207</v>
      </c>
      <c r="B23" s="233">
        <f>B24*25.01%</f>
        <v>2727083.8973999997</v>
      </c>
      <c r="D23" s="236" t="s">
        <v>251</v>
      </c>
      <c r="E23" s="205"/>
      <c r="F23" s="211"/>
    </row>
    <row r="24" spans="1:6" x14ac:dyDescent="0.25">
      <c r="A24" s="232" t="s">
        <v>208</v>
      </c>
      <c r="B24" s="233">
        <v>10903974</v>
      </c>
      <c r="D24" s="232" t="s">
        <v>209</v>
      </c>
      <c r="E24" s="237">
        <v>10903974</v>
      </c>
    </row>
    <row r="25" spans="1:6" x14ac:dyDescent="0.25">
      <c r="A25" s="232" t="s">
        <v>210</v>
      </c>
      <c r="B25" s="233">
        <f>B24*11.75%</f>
        <v>1281216.9449999998</v>
      </c>
      <c r="D25" s="232" t="s">
        <v>211</v>
      </c>
      <c r="E25" s="237">
        <v>2727084</v>
      </c>
    </row>
    <row r="26" spans="1:6" x14ac:dyDescent="0.25">
      <c r="A26" s="232" t="s">
        <v>212</v>
      </c>
      <c r="B26" s="233">
        <v>792446</v>
      </c>
      <c r="D26" s="238" t="s">
        <v>213</v>
      </c>
      <c r="E26" s="239">
        <f>E25+E24</f>
        <v>13631058</v>
      </c>
    </row>
    <row r="27" spans="1:6" x14ac:dyDescent="0.25">
      <c r="A27" s="232" t="s">
        <v>214</v>
      </c>
      <c r="B27" s="233">
        <v>450378</v>
      </c>
      <c r="D27" s="232" t="s">
        <v>215</v>
      </c>
      <c r="E27" s="237">
        <f>E26*32%</f>
        <v>4361938.5600000005</v>
      </c>
    </row>
    <row r="28" spans="1:6" x14ac:dyDescent="0.25">
      <c r="A28" s="232" t="s">
        <v>216</v>
      </c>
      <c r="B28" s="233">
        <v>5074</v>
      </c>
      <c r="D28" s="232" t="s">
        <v>252</v>
      </c>
      <c r="E28" s="237">
        <f>E27+E26</f>
        <v>17992996.560000002</v>
      </c>
    </row>
    <row r="29" spans="1:6" x14ac:dyDescent="0.25">
      <c r="A29" s="232" t="s">
        <v>217</v>
      </c>
      <c r="B29" s="233">
        <v>12903</v>
      </c>
    </row>
    <row r="30" spans="1:6" x14ac:dyDescent="0.25">
      <c r="A30" s="232" t="s">
        <v>218</v>
      </c>
      <c r="B30" s="233">
        <v>1310</v>
      </c>
    </row>
    <row r="31" spans="1:6" x14ac:dyDescent="0.25">
      <c r="A31" s="232" t="s">
        <v>219</v>
      </c>
      <c r="B31" s="233">
        <v>50351</v>
      </c>
    </row>
    <row r="32" spans="1:6" x14ac:dyDescent="0.25">
      <c r="A32" s="232" t="s">
        <v>220</v>
      </c>
      <c r="B32" s="233">
        <v>327361</v>
      </c>
    </row>
    <row r="33" spans="1:2" x14ac:dyDescent="0.25">
      <c r="A33" s="232" t="s">
        <v>221</v>
      </c>
      <c r="B33" s="233">
        <v>144520</v>
      </c>
    </row>
    <row r="34" spans="1:2" x14ac:dyDescent="0.25">
      <c r="A34" s="234" t="s">
        <v>222</v>
      </c>
      <c r="B34" s="235">
        <f>SUM(B23:B33)</f>
        <v>16696617.842399999</v>
      </c>
    </row>
    <row r="36" spans="1:2" x14ac:dyDescent="0.25">
      <c r="A36" s="411" t="s">
        <v>223</v>
      </c>
      <c r="B36" s="411"/>
    </row>
    <row r="37" spans="1:2" x14ac:dyDescent="0.25">
      <c r="A37" s="232" t="s">
        <v>224</v>
      </c>
      <c r="B37" s="233"/>
    </row>
    <row r="38" spans="1:2" x14ac:dyDescent="0.25">
      <c r="A38" s="232" t="s">
        <v>225</v>
      </c>
      <c r="B38" s="233">
        <v>17992996</v>
      </c>
    </row>
    <row r="39" spans="1:2" x14ac:dyDescent="0.25">
      <c r="A39" s="232" t="s">
        <v>210</v>
      </c>
      <c r="B39" s="233">
        <f>ROUND(B38*11.75%,0)</f>
        <v>2114177</v>
      </c>
    </row>
    <row r="40" spans="1:2" x14ac:dyDescent="0.25">
      <c r="A40" s="232" t="s">
        <v>212</v>
      </c>
      <c r="B40" s="233">
        <f>ROUND(B38*7.27%,0)</f>
        <v>1308091</v>
      </c>
    </row>
    <row r="41" spans="1:2" x14ac:dyDescent="0.25">
      <c r="A41" s="232" t="s">
        <v>214</v>
      </c>
      <c r="B41" s="233">
        <f>ROUND(B38*4.13%,0)</f>
        <v>743111</v>
      </c>
    </row>
    <row r="42" spans="1:2" x14ac:dyDescent="0.25">
      <c r="A42" s="232" t="s">
        <v>216</v>
      </c>
      <c r="B42" s="233">
        <v>6500</v>
      </c>
    </row>
    <row r="43" spans="1:2" x14ac:dyDescent="0.25">
      <c r="A43" s="232" t="s">
        <v>217</v>
      </c>
      <c r="B43" s="233">
        <v>15000</v>
      </c>
    </row>
    <row r="44" spans="1:2" x14ac:dyDescent="0.25">
      <c r="A44" s="232" t="s">
        <v>218</v>
      </c>
      <c r="B44" s="233">
        <v>1500</v>
      </c>
    </row>
    <row r="45" spans="1:2" x14ac:dyDescent="0.25">
      <c r="A45" s="232" t="s">
        <v>219</v>
      </c>
      <c r="B45" s="233">
        <v>50351</v>
      </c>
    </row>
    <row r="46" spans="1:2" x14ac:dyDescent="0.25">
      <c r="A46" s="232" t="s">
        <v>220</v>
      </c>
      <c r="B46" s="233">
        <f>B38*3%</f>
        <v>539789.88</v>
      </c>
    </row>
    <row r="47" spans="1:2" x14ac:dyDescent="0.25">
      <c r="A47" s="232" t="s">
        <v>221</v>
      </c>
      <c r="B47" s="233">
        <v>145000</v>
      </c>
    </row>
    <row r="48" spans="1:2" x14ac:dyDescent="0.25">
      <c r="A48" s="238" t="s">
        <v>226</v>
      </c>
      <c r="B48" s="235">
        <f>SUM(B37:B47)</f>
        <v>22916515.879999999</v>
      </c>
    </row>
    <row r="57" spans="1:5" x14ac:dyDescent="0.25">
      <c r="A57" s="411" t="s">
        <v>227</v>
      </c>
      <c r="B57" s="411"/>
      <c r="D57" s="411" t="s">
        <v>230</v>
      </c>
      <c r="E57" s="411"/>
    </row>
    <row r="58" spans="1:5" x14ac:dyDescent="0.25">
      <c r="A58" s="232" t="s">
        <v>228</v>
      </c>
      <c r="B58" s="233">
        <v>539780</v>
      </c>
      <c r="D58" s="232" t="s">
        <v>231</v>
      </c>
      <c r="E58" s="233">
        <f>E59*6%</f>
        <v>1079579.76</v>
      </c>
    </row>
    <row r="59" spans="1:5" x14ac:dyDescent="0.25">
      <c r="A59" s="232" t="s">
        <v>225</v>
      </c>
      <c r="B59" s="233">
        <v>17992996</v>
      </c>
      <c r="D59" s="232" t="s">
        <v>232</v>
      </c>
      <c r="E59" s="233">
        <v>17992996</v>
      </c>
    </row>
    <row r="60" spans="1:5" x14ac:dyDescent="0.25">
      <c r="A60" s="232" t="s">
        <v>210</v>
      </c>
      <c r="B60" s="233">
        <v>2114177</v>
      </c>
      <c r="D60" s="232" t="s">
        <v>210</v>
      </c>
      <c r="E60" s="233">
        <v>2114177</v>
      </c>
    </row>
    <row r="61" spans="1:5" x14ac:dyDescent="0.25">
      <c r="A61" s="232" t="s">
        <v>212</v>
      </c>
      <c r="B61" s="233">
        <v>1308091</v>
      </c>
      <c r="D61" s="232" t="s">
        <v>212</v>
      </c>
      <c r="E61" s="233">
        <v>1308091</v>
      </c>
    </row>
    <row r="62" spans="1:5" x14ac:dyDescent="0.25">
      <c r="A62" s="232" t="s">
        <v>214</v>
      </c>
      <c r="B62" s="233">
        <v>743111</v>
      </c>
      <c r="D62" s="232" t="s">
        <v>214</v>
      </c>
      <c r="E62" s="233">
        <v>743111</v>
      </c>
    </row>
    <row r="63" spans="1:5" x14ac:dyDescent="0.25">
      <c r="A63" s="232" t="s">
        <v>216</v>
      </c>
      <c r="B63" s="233">
        <v>6500</v>
      </c>
      <c r="D63" s="232" t="s">
        <v>216</v>
      </c>
      <c r="E63" s="233">
        <v>6500</v>
      </c>
    </row>
    <row r="64" spans="1:5" x14ac:dyDescent="0.25">
      <c r="A64" s="232" t="s">
        <v>217</v>
      </c>
      <c r="B64" s="233">
        <v>15000</v>
      </c>
      <c r="D64" s="232" t="s">
        <v>217</v>
      </c>
      <c r="E64" s="233">
        <v>15000</v>
      </c>
    </row>
    <row r="65" spans="1:5" x14ac:dyDescent="0.25">
      <c r="A65" s="232" t="s">
        <v>218</v>
      </c>
      <c r="B65" s="233">
        <v>1500</v>
      </c>
      <c r="D65" s="232" t="s">
        <v>218</v>
      </c>
      <c r="E65" s="233">
        <v>1500</v>
      </c>
    </row>
    <row r="66" spans="1:5" x14ac:dyDescent="0.25">
      <c r="A66" s="232" t="s">
        <v>219</v>
      </c>
      <c r="B66" s="233">
        <v>50351</v>
      </c>
      <c r="D66" s="232" t="s">
        <v>219</v>
      </c>
      <c r="E66" s="233">
        <v>50351</v>
      </c>
    </row>
    <row r="67" spans="1:5" x14ac:dyDescent="0.25">
      <c r="A67" s="232" t="s">
        <v>220</v>
      </c>
      <c r="B67" s="233">
        <v>539789.88</v>
      </c>
      <c r="D67" s="232" t="s">
        <v>220</v>
      </c>
      <c r="E67" s="233">
        <v>539789.88</v>
      </c>
    </row>
    <row r="68" spans="1:5" x14ac:dyDescent="0.25">
      <c r="A68" s="232" t="s">
        <v>221</v>
      </c>
      <c r="B68" s="233">
        <v>145000</v>
      </c>
      <c r="D68" s="232" t="s">
        <v>221</v>
      </c>
      <c r="E68" s="233">
        <v>145000</v>
      </c>
    </row>
    <row r="69" spans="1:5" x14ac:dyDescent="0.25">
      <c r="A69" s="238" t="s">
        <v>229</v>
      </c>
      <c r="B69" s="235">
        <f>SUM(B58:B68)</f>
        <v>23456295.879999999</v>
      </c>
      <c r="D69" s="238" t="s">
        <v>233</v>
      </c>
      <c r="E69" s="235">
        <f>SUM(E58:E68)</f>
        <v>23996095.640000001</v>
      </c>
    </row>
    <row r="90" s="201" customFormat="1" ht="20.100000000000001" customHeight="1" x14ac:dyDescent="0.25"/>
    <row r="91" s="201" customFormat="1" ht="20.100000000000001" customHeight="1" x14ac:dyDescent="0.25"/>
    <row r="92" s="201" customFormat="1" ht="20.100000000000001" customHeight="1" x14ac:dyDescent="0.25"/>
    <row r="93" s="201" customFormat="1" ht="20.100000000000001" customHeight="1" x14ac:dyDescent="0.25"/>
    <row r="94" s="201" customFormat="1" ht="20.100000000000001" customHeight="1" x14ac:dyDescent="0.25"/>
    <row r="95" s="201" customFormat="1" ht="20.100000000000001" customHeight="1" x14ac:dyDescent="0.25"/>
    <row r="96" s="201" customFormat="1" ht="20.100000000000001" customHeight="1" x14ac:dyDescent="0.25"/>
    <row r="97" s="201" customFormat="1" ht="20.100000000000001" customHeight="1" x14ac:dyDescent="0.25"/>
    <row r="98" s="201" customFormat="1" ht="20.100000000000001" customHeight="1" x14ac:dyDescent="0.25"/>
    <row r="99" s="201" customFormat="1" ht="20.100000000000001" customHeight="1" x14ac:dyDescent="0.25"/>
    <row r="100" s="201" customFormat="1" ht="30" customHeight="1" x14ac:dyDescent="0.25"/>
    <row r="101" s="201" customFormat="1" ht="32.25" customHeight="1" x14ac:dyDescent="0.25"/>
    <row r="102" s="201" customFormat="1" ht="18" customHeight="1" x14ac:dyDescent="0.25"/>
    <row r="103" s="201" customFormat="1" ht="20.100000000000001" customHeight="1" x14ac:dyDescent="0.25"/>
    <row r="104" s="201" customFormat="1" ht="20.100000000000001" customHeight="1" x14ac:dyDescent="0.25"/>
    <row r="105" s="201" customFormat="1" ht="20.100000000000001" customHeight="1" x14ac:dyDescent="0.25"/>
    <row r="106" s="201" customFormat="1" ht="20.100000000000001" customHeight="1" x14ac:dyDescent="0.25"/>
    <row r="107" s="201" customFormat="1" ht="20.100000000000001" customHeight="1" x14ac:dyDescent="0.25"/>
    <row r="108" s="201" customFormat="1" ht="20.100000000000001" customHeight="1" x14ac:dyDescent="0.25"/>
    <row r="109" s="201" customFormat="1" ht="20.100000000000001" customHeight="1" x14ac:dyDescent="0.25"/>
    <row r="110" s="201" customFormat="1" ht="20.100000000000001" customHeight="1" x14ac:dyDescent="0.25"/>
    <row r="111" s="201" customFormat="1" ht="20.100000000000001" customHeight="1" x14ac:dyDescent="0.25"/>
    <row r="112" s="201" customFormat="1" ht="20.100000000000001" customHeight="1" x14ac:dyDescent="0.25"/>
    <row r="113" s="201" customFormat="1" ht="20.100000000000001" customHeight="1" x14ac:dyDescent="0.25"/>
    <row r="114" s="201" customFormat="1" ht="20.100000000000001" customHeight="1" x14ac:dyDescent="0.25"/>
    <row r="115" s="201" customFormat="1" ht="20.100000000000001" customHeight="1" x14ac:dyDescent="0.25"/>
    <row r="116" s="201" customFormat="1" ht="20.100000000000001" customHeight="1" x14ac:dyDescent="0.25"/>
    <row r="117" s="201" customFormat="1" ht="20.100000000000001" customHeight="1" x14ac:dyDescent="0.25"/>
    <row r="118" s="201" customFormat="1" ht="20.100000000000001" customHeight="1" x14ac:dyDescent="0.25"/>
    <row r="119" s="201" customFormat="1" ht="20.100000000000001" customHeight="1" x14ac:dyDescent="0.25"/>
    <row r="120" s="201" customFormat="1" ht="20.100000000000001" customHeight="1" x14ac:dyDescent="0.25"/>
    <row r="121" s="201" customFormat="1" ht="39" customHeight="1" x14ac:dyDescent="0.25"/>
    <row r="126" s="201" customFormat="1" ht="20.100000000000001" customHeight="1" x14ac:dyDescent="0.25"/>
    <row r="127" s="201" customFormat="1" ht="30" customHeight="1" x14ac:dyDescent="0.25"/>
    <row r="128" s="201" customFormat="1" ht="20.100000000000001" customHeight="1" x14ac:dyDescent="0.25"/>
    <row r="129" s="201" customFormat="1" ht="20.100000000000001" customHeight="1" x14ac:dyDescent="0.25"/>
    <row r="130" s="201" customFormat="1" ht="20.100000000000001" customHeight="1" x14ac:dyDescent="0.25"/>
  </sheetData>
  <mergeCells count="6">
    <mergeCell ref="A36:B36"/>
    <mergeCell ref="A57:B57"/>
    <mergeCell ref="D57:E57"/>
    <mergeCell ref="A4:B4"/>
    <mergeCell ref="A11:B11"/>
    <mergeCell ref="A22:B22"/>
  </mergeCells>
  <printOptions horizontalCentered="1"/>
  <pageMargins left="0.5" right="0.5" top="1" bottom="1" header="0.5" footer="0.5"/>
  <pageSetup paperSize="9" orientation="landscape" verticalDpi="18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37DD0-59AA-4247-80F5-BB60519DEB4B}">
  <dimension ref="A1:K80"/>
  <sheetViews>
    <sheetView view="pageBreakPreview" zoomScale="130" zoomScaleSheetLayoutView="130" workbookViewId="0">
      <selection activeCell="H70" sqref="H70"/>
    </sheetView>
  </sheetViews>
  <sheetFormatPr defaultRowHeight="21" customHeight="1" x14ac:dyDescent="0.2"/>
  <cols>
    <col min="1" max="1" width="4.5703125" style="44" customWidth="1"/>
    <col min="2" max="2" width="6.42578125" style="44" customWidth="1"/>
    <col min="3" max="3" width="22.28515625" style="44" customWidth="1"/>
    <col min="4" max="4" width="8.85546875" style="44" customWidth="1"/>
    <col min="5" max="5" width="14.28515625" style="44" customWidth="1"/>
    <col min="6" max="7" width="17.28515625" style="44" customWidth="1"/>
    <col min="8" max="8" width="11.5703125" style="44" customWidth="1"/>
    <col min="9" max="9" width="14" style="44" customWidth="1"/>
    <col min="10" max="10" width="7" style="44" customWidth="1"/>
    <col min="11" max="11" width="13.28515625" style="44" customWidth="1"/>
    <col min="12" max="12" width="9.140625" style="44"/>
    <col min="13" max="13" width="33.85546875" style="44" customWidth="1"/>
    <col min="14" max="14" width="11.28515625" style="44" customWidth="1"/>
    <col min="15" max="15" width="19.7109375" style="44" customWidth="1"/>
    <col min="16" max="16" width="19" style="44" customWidth="1"/>
    <col min="17" max="17" width="20.7109375" style="44" customWidth="1"/>
    <col min="18" max="18" width="21.5703125" style="44" customWidth="1"/>
    <col min="19" max="19" width="24.7109375" style="44" customWidth="1"/>
    <col min="20" max="20" width="12.85546875" style="44" customWidth="1"/>
    <col min="21" max="16384" width="9.140625" style="44"/>
  </cols>
  <sheetData>
    <row r="1" spans="1:11" ht="38.1" customHeight="1" x14ac:dyDescent="0.2">
      <c r="A1" s="416" t="s">
        <v>253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</row>
    <row r="2" spans="1:11" ht="55.5" customHeight="1" x14ac:dyDescent="0.2">
      <c r="A2" s="45" t="s">
        <v>254</v>
      </c>
      <c r="B2" s="45" t="s">
        <v>255</v>
      </c>
      <c r="C2" s="45" t="s">
        <v>256</v>
      </c>
      <c r="D2" s="45" t="s">
        <v>257</v>
      </c>
      <c r="E2" s="46" t="s">
        <v>258</v>
      </c>
      <c r="F2" s="46" t="s">
        <v>259</v>
      </c>
      <c r="G2" s="46" t="s">
        <v>260</v>
      </c>
      <c r="H2" s="47" t="s">
        <v>261</v>
      </c>
      <c r="I2" s="48" t="s">
        <v>262</v>
      </c>
      <c r="J2" s="49" t="s">
        <v>263</v>
      </c>
      <c r="K2" s="50" t="s">
        <v>264</v>
      </c>
    </row>
    <row r="3" spans="1:11" ht="21" customHeight="1" x14ac:dyDescent="0.25">
      <c r="A3" s="51">
        <v>1</v>
      </c>
      <c r="B3" s="51">
        <v>313</v>
      </c>
      <c r="C3" s="52" t="s">
        <v>265</v>
      </c>
      <c r="D3" s="51"/>
      <c r="E3" s="53"/>
      <c r="F3" s="53"/>
      <c r="G3" s="53"/>
      <c r="H3" s="53"/>
      <c r="I3" s="53"/>
      <c r="J3" s="54"/>
      <c r="K3" s="55">
        <f>'[1]2019-20 Actual '!P2</f>
        <v>0</v>
      </c>
    </row>
    <row r="4" spans="1:11" ht="18.75" customHeight="1" x14ac:dyDescent="0.25">
      <c r="A4" s="51"/>
      <c r="B4" s="51"/>
      <c r="C4" s="52" t="s">
        <v>266</v>
      </c>
      <c r="D4" s="51" t="s">
        <v>267</v>
      </c>
      <c r="E4" s="242">
        <f>457580416.8+50000000</f>
        <v>507580416.80000001</v>
      </c>
      <c r="F4" s="243">
        <v>202311174.36464074</v>
      </c>
      <c r="G4" s="243">
        <f>E4-F4</f>
        <v>305269242.43535924</v>
      </c>
      <c r="H4" s="244">
        <f>G4*90%</f>
        <v>274742318.1918233</v>
      </c>
      <c r="I4" s="243">
        <f>H4*J4</f>
        <v>21539797.746238947</v>
      </c>
      <c r="J4" s="245">
        <v>7.8399999999999997E-2</v>
      </c>
      <c r="K4" s="240">
        <f>I4+F4</f>
        <v>223850972.11087969</v>
      </c>
    </row>
    <row r="5" spans="1:11" ht="21" customHeight="1" x14ac:dyDescent="0.25">
      <c r="A5" s="51">
        <v>2</v>
      </c>
      <c r="B5" s="51">
        <v>314</v>
      </c>
      <c r="C5" s="52" t="s">
        <v>265</v>
      </c>
      <c r="D5" s="51"/>
      <c r="E5" s="246"/>
      <c r="F5" s="243">
        <v>0</v>
      </c>
      <c r="G5" s="243"/>
      <c r="H5" s="244"/>
      <c r="I5" s="243"/>
      <c r="J5" s="245"/>
      <c r="K5" s="240">
        <f t="shared" ref="K5:K73" si="0">I5+F5</f>
        <v>0</v>
      </c>
    </row>
    <row r="6" spans="1:11" ht="15.75" customHeight="1" x14ac:dyDescent="0.25">
      <c r="A6" s="51"/>
      <c r="B6" s="51"/>
      <c r="C6" s="52" t="s">
        <v>268</v>
      </c>
      <c r="D6" s="51" t="s">
        <v>269</v>
      </c>
      <c r="E6" s="242">
        <v>289115948.92000002</v>
      </c>
      <c r="F6" s="243">
        <v>129729796.74484688</v>
      </c>
      <c r="G6" s="243">
        <f>E6-F6</f>
        <v>159386152.17515314</v>
      </c>
      <c r="H6" s="244">
        <f>G6*90%</f>
        <v>143447536.95763782</v>
      </c>
      <c r="I6" s="243">
        <f>H6*J6</f>
        <v>11246286.897478804</v>
      </c>
      <c r="J6" s="245">
        <v>7.8399999999999997E-2</v>
      </c>
      <c r="K6" s="240">
        <f t="shared" si="0"/>
        <v>140976083.6423257</v>
      </c>
    </row>
    <row r="7" spans="1:11" ht="18.75" customHeight="1" x14ac:dyDescent="0.25">
      <c r="A7" s="51">
        <v>3</v>
      </c>
      <c r="B7" s="51">
        <v>315</v>
      </c>
      <c r="C7" s="52" t="s">
        <v>270</v>
      </c>
      <c r="D7" s="51" t="s">
        <v>271</v>
      </c>
      <c r="E7" s="243">
        <v>54875260.5</v>
      </c>
      <c r="F7" s="243">
        <v>24424980.474149957</v>
      </c>
      <c r="G7" s="243">
        <f>E7-F7</f>
        <v>30450280.025850043</v>
      </c>
      <c r="H7" s="244">
        <f>G7*90%</f>
        <v>27405252.023265038</v>
      </c>
      <c r="I7" s="243">
        <f>H7*J7</f>
        <v>2148571.7586239791</v>
      </c>
      <c r="J7" s="245">
        <v>7.8399999999999997E-2</v>
      </c>
      <c r="K7" s="240">
        <f t="shared" si="0"/>
        <v>26573552.232773937</v>
      </c>
    </row>
    <row r="8" spans="1:11" ht="18.75" customHeight="1" x14ac:dyDescent="0.25">
      <c r="A8" s="51"/>
      <c r="B8" s="51">
        <v>316</v>
      </c>
      <c r="C8" s="52" t="s">
        <v>272</v>
      </c>
      <c r="D8" s="51" t="s">
        <v>271</v>
      </c>
      <c r="E8" s="247">
        <v>232646722.94999999</v>
      </c>
      <c r="F8" s="243">
        <v>18058695.499157403</v>
      </c>
      <c r="G8" s="243">
        <f>E8-F8</f>
        <v>214588027.45084259</v>
      </c>
      <c r="H8" s="244">
        <f>G8*90%</f>
        <v>193129224.70575833</v>
      </c>
      <c r="I8" s="243">
        <f>H8*J8</f>
        <v>15141331.216931453</v>
      </c>
      <c r="J8" s="245">
        <v>7.8399999999999997E-2</v>
      </c>
      <c r="K8" s="240">
        <f t="shared" si="0"/>
        <v>33200026.716088854</v>
      </c>
    </row>
    <row r="9" spans="1:11" ht="17.25" customHeight="1" x14ac:dyDescent="0.25">
      <c r="A9" s="51">
        <v>4</v>
      </c>
      <c r="B9" s="51">
        <v>317</v>
      </c>
      <c r="C9" s="52" t="s">
        <v>273</v>
      </c>
      <c r="D9" s="51"/>
      <c r="E9" s="243"/>
      <c r="F9" s="243">
        <v>0</v>
      </c>
      <c r="G9" s="243"/>
      <c r="H9" s="244"/>
      <c r="I9" s="243"/>
      <c r="J9" s="245"/>
      <c r="K9" s="240">
        <f t="shared" si="0"/>
        <v>0</v>
      </c>
    </row>
    <row r="10" spans="1:11" ht="21" customHeight="1" x14ac:dyDescent="0.25">
      <c r="A10" s="51"/>
      <c r="B10" s="51"/>
      <c r="C10" s="52" t="s">
        <v>274</v>
      </c>
      <c r="D10" s="51" t="s">
        <v>271</v>
      </c>
      <c r="E10" s="242">
        <v>357512182.64999998</v>
      </c>
      <c r="F10" s="243">
        <v>154782961.25576559</v>
      </c>
      <c r="G10" s="243">
        <f>E10-F10</f>
        <v>202729221.39423439</v>
      </c>
      <c r="H10" s="244">
        <f>G10*90%</f>
        <v>182456299.25481096</v>
      </c>
      <c r="I10" s="243">
        <f>H10*J10</f>
        <v>14304573.861577179</v>
      </c>
      <c r="J10" s="245">
        <v>7.8399999999999997E-2</v>
      </c>
      <c r="K10" s="240">
        <f t="shared" si="0"/>
        <v>169087535.11734277</v>
      </c>
    </row>
    <row r="11" spans="1:11" ht="21" customHeight="1" x14ac:dyDescent="0.25">
      <c r="A11" s="51">
        <v>5</v>
      </c>
      <c r="B11" s="51">
        <v>320</v>
      </c>
      <c r="C11" s="52" t="s">
        <v>275</v>
      </c>
      <c r="D11" s="51"/>
      <c r="E11" s="243"/>
      <c r="F11" s="243">
        <v>0</v>
      </c>
      <c r="G11" s="243"/>
      <c r="H11" s="244"/>
      <c r="I11" s="243"/>
      <c r="J11" s="245"/>
      <c r="K11" s="240">
        <f t="shared" si="0"/>
        <v>0</v>
      </c>
    </row>
    <row r="12" spans="1:11" ht="16.5" customHeight="1" x14ac:dyDescent="0.25">
      <c r="A12" s="56"/>
      <c r="B12" s="56"/>
      <c r="C12" s="52" t="s">
        <v>276</v>
      </c>
      <c r="D12" s="51" t="s">
        <v>277</v>
      </c>
      <c r="E12" s="243">
        <v>3711104.38</v>
      </c>
      <c r="F12" s="243">
        <v>3329966.1230850071</v>
      </c>
      <c r="G12" s="243">
        <f>E12-F12</f>
        <v>381138.25691499282</v>
      </c>
      <c r="H12" s="244">
        <f>G12*90%</f>
        <v>343024.43122349354</v>
      </c>
      <c r="I12" s="243">
        <f>H12*J12</f>
        <v>43804.219867240128</v>
      </c>
      <c r="J12" s="248">
        <v>0.12770000000000001</v>
      </c>
      <c r="K12" s="240">
        <f t="shared" si="0"/>
        <v>3373770.3429522472</v>
      </c>
    </row>
    <row r="13" spans="1:11" ht="21" customHeight="1" x14ac:dyDescent="0.2">
      <c r="A13" s="417" t="s">
        <v>278</v>
      </c>
      <c r="B13" s="418"/>
      <c r="C13" s="419"/>
      <c r="D13" s="171"/>
      <c r="E13" s="249">
        <f>SUM(E4:E12)</f>
        <v>1445441636.2000003</v>
      </c>
      <c r="F13" s="250">
        <v>532637574.46164548</v>
      </c>
      <c r="G13" s="249">
        <f>SUM(G4:G12)</f>
        <v>912804061.73835444</v>
      </c>
      <c r="H13" s="249">
        <f>SUM(H4:H12)</f>
        <v>821523655.56451893</v>
      </c>
      <c r="I13" s="249">
        <f>SUM(I4:I12)</f>
        <v>64424365.700717606</v>
      </c>
      <c r="J13" s="251"/>
      <c r="K13" s="240">
        <f t="shared" si="0"/>
        <v>597061940.16236305</v>
      </c>
    </row>
    <row r="14" spans="1:11" ht="21" customHeight="1" x14ac:dyDescent="0.25">
      <c r="A14" s="51">
        <v>6</v>
      </c>
      <c r="B14" s="51">
        <v>335</v>
      </c>
      <c r="C14" s="52" t="s">
        <v>279</v>
      </c>
      <c r="D14" s="51"/>
      <c r="E14" s="243"/>
      <c r="F14" s="243">
        <v>0</v>
      </c>
      <c r="G14" s="243"/>
      <c r="H14" s="243"/>
      <c r="I14" s="243"/>
      <c r="J14" s="245"/>
      <c r="K14" s="240">
        <f t="shared" si="0"/>
        <v>0</v>
      </c>
    </row>
    <row r="15" spans="1:11" ht="21" customHeight="1" x14ac:dyDescent="0.25">
      <c r="A15" s="51"/>
      <c r="B15" s="51"/>
      <c r="C15" s="52" t="s">
        <v>280</v>
      </c>
      <c r="D15" s="51" t="s">
        <v>271</v>
      </c>
      <c r="E15" s="243">
        <v>16862193.18</v>
      </c>
      <c r="F15" s="243">
        <v>8026668.0791404443</v>
      </c>
      <c r="G15" s="243">
        <f>E15-F15</f>
        <v>8835525.1008595563</v>
      </c>
      <c r="H15" s="243">
        <f>G15*90%</f>
        <v>7951972.5907736011</v>
      </c>
      <c r="I15" s="243">
        <f>H15*J15</f>
        <v>623434.65111665032</v>
      </c>
      <c r="J15" s="245">
        <v>7.8399999999999997E-2</v>
      </c>
      <c r="K15" s="240">
        <f t="shared" si="0"/>
        <v>8650102.7302570939</v>
      </c>
    </row>
    <row r="16" spans="1:11" ht="21" customHeight="1" x14ac:dyDescent="0.25">
      <c r="A16" s="51">
        <v>7</v>
      </c>
      <c r="B16" s="51">
        <v>337</v>
      </c>
      <c r="C16" s="52" t="s">
        <v>279</v>
      </c>
      <c r="D16" s="51"/>
      <c r="E16" s="243"/>
      <c r="F16" s="243">
        <v>0</v>
      </c>
      <c r="G16" s="243"/>
      <c r="H16" s="243"/>
      <c r="I16" s="243"/>
      <c r="J16" s="245"/>
      <c r="K16" s="240">
        <f t="shared" si="0"/>
        <v>0</v>
      </c>
    </row>
    <row r="17" spans="1:11" ht="21" customHeight="1" x14ac:dyDescent="0.25">
      <c r="A17" s="51"/>
      <c r="B17" s="51"/>
      <c r="C17" s="52" t="s">
        <v>281</v>
      </c>
      <c r="D17" s="51" t="s">
        <v>269</v>
      </c>
      <c r="E17" s="252">
        <v>657890547.95000005</v>
      </c>
      <c r="F17" s="243">
        <v>301303128.53446293</v>
      </c>
      <c r="G17" s="243">
        <f>E17-F17</f>
        <v>356587419.41553712</v>
      </c>
      <c r="H17" s="253">
        <f>G17*90%</f>
        <v>320928677.47398341</v>
      </c>
      <c r="I17" s="243">
        <f>H17*J17</f>
        <v>25160808.313960299</v>
      </c>
      <c r="J17" s="245">
        <v>7.8399999999999997E-2</v>
      </c>
      <c r="K17" s="240">
        <f t="shared" si="0"/>
        <v>326463936.84842324</v>
      </c>
    </row>
    <row r="18" spans="1:11" ht="28.5" customHeight="1" x14ac:dyDescent="0.25">
      <c r="A18" s="51"/>
      <c r="B18" s="51">
        <v>338</v>
      </c>
      <c r="C18" s="52" t="s">
        <v>282</v>
      </c>
      <c r="D18" s="51" t="s">
        <v>269</v>
      </c>
      <c r="E18" s="252">
        <v>154880600.19999999</v>
      </c>
      <c r="F18" s="243">
        <v>14278579.829632096</v>
      </c>
      <c r="G18" s="243">
        <f>E18-F18</f>
        <v>140602020.37036788</v>
      </c>
      <c r="H18" s="253">
        <f>G18*90%</f>
        <v>126541818.33333109</v>
      </c>
      <c r="I18" s="243">
        <f>H18*J18</f>
        <v>9920878.5573331565</v>
      </c>
      <c r="J18" s="245">
        <v>7.8399999999999997E-2</v>
      </c>
      <c r="K18" s="240">
        <f t="shared" si="0"/>
        <v>24199458.386965252</v>
      </c>
    </row>
    <row r="19" spans="1:11" ht="27.75" customHeight="1" x14ac:dyDescent="0.25">
      <c r="A19" s="51"/>
      <c r="B19" s="51">
        <v>339</v>
      </c>
      <c r="C19" s="52" t="s">
        <v>283</v>
      </c>
      <c r="D19" s="51" t="s">
        <v>269</v>
      </c>
      <c r="E19" s="252">
        <f>36261089.48+26300000</f>
        <v>62561089.479999997</v>
      </c>
      <c r="F19" s="243">
        <v>4936631.3680727063</v>
      </c>
      <c r="G19" s="243">
        <f>E19-F19</f>
        <v>57624458.111927293</v>
      </c>
      <c r="H19" s="253">
        <f>G19*90%</f>
        <v>51862012.300734565</v>
      </c>
      <c r="I19" s="243">
        <f>H19*J19</f>
        <v>4065981.7643775898</v>
      </c>
      <c r="J19" s="245">
        <v>7.8399999999999997E-2</v>
      </c>
      <c r="K19" s="240">
        <f t="shared" si="0"/>
        <v>9002613.1324502956</v>
      </c>
    </row>
    <row r="20" spans="1:11" ht="21" customHeight="1" x14ac:dyDescent="0.25">
      <c r="A20" s="51">
        <v>8</v>
      </c>
      <c r="B20" s="51">
        <v>340</v>
      </c>
      <c r="C20" s="52" t="s">
        <v>279</v>
      </c>
      <c r="D20" s="51"/>
      <c r="E20" s="243"/>
      <c r="F20" s="243">
        <v>0</v>
      </c>
      <c r="G20" s="243"/>
      <c r="H20" s="243"/>
      <c r="I20" s="243"/>
      <c r="J20" s="245"/>
      <c r="K20" s="240">
        <f t="shared" si="0"/>
        <v>0</v>
      </c>
    </row>
    <row r="21" spans="1:11" ht="21" customHeight="1" x14ac:dyDescent="0.25">
      <c r="A21" s="51"/>
      <c r="B21" s="51"/>
      <c r="C21" s="52" t="s">
        <v>284</v>
      </c>
      <c r="D21" s="51" t="s">
        <v>277</v>
      </c>
      <c r="E21" s="243">
        <v>109380.08</v>
      </c>
      <c r="F21" s="243">
        <v>0</v>
      </c>
      <c r="G21" s="254" t="s">
        <v>285</v>
      </c>
      <c r="H21" s="254" t="s">
        <v>285</v>
      </c>
      <c r="I21" s="254"/>
      <c r="J21" s="248">
        <v>0.12770000000000001</v>
      </c>
      <c r="K21" s="240">
        <f t="shared" si="0"/>
        <v>0</v>
      </c>
    </row>
    <row r="22" spans="1:11" ht="21" customHeight="1" x14ac:dyDescent="0.25">
      <c r="A22" s="51">
        <v>9</v>
      </c>
      <c r="B22" s="51">
        <v>344</v>
      </c>
      <c r="C22" s="52" t="s">
        <v>279</v>
      </c>
      <c r="D22" s="51"/>
      <c r="E22" s="243"/>
      <c r="F22" s="243">
        <v>0</v>
      </c>
      <c r="G22" s="243"/>
      <c r="H22" s="243"/>
      <c r="I22" s="243"/>
      <c r="J22" s="245"/>
      <c r="K22" s="240">
        <f t="shared" si="0"/>
        <v>0</v>
      </c>
    </row>
    <row r="23" spans="1:11" ht="21" customHeight="1" x14ac:dyDescent="0.25">
      <c r="A23" s="51"/>
      <c r="B23" s="51"/>
      <c r="C23" s="52" t="s">
        <v>286</v>
      </c>
      <c r="D23" s="51" t="s">
        <v>277</v>
      </c>
      <c r="E23" s="242">
        <v>51562819.060000002</v>
      </c>
      <c r="F23" s="243">
        <v>19703800.297248781</v>
      </c>
      <c r="G23" s="243">
        <f>E23-F23</f>
        <v>31859018.762751222</v>
      </c>
      <c r="H23" s="243">
        <f>G23*90%</f>
        <v>28673116.886476099</v>
      </c>
      <c r="I23" s="243">
        <f>H23*J23</f>
        <v>2247972.363899726</v>
      </c>
      <c r="J23" s="245">
        <v>7.8399999999999997E-2</v>
      </c>
      <c r="K23" s="240">
        <f t="shared" si="0"/>
        <v>21951772.661148507</v>
      </c>
    </row>
    <row r="24" spans="1:11" ht="21" customHeight="1" x14ac:dyDescent="0.25">
      <c r="A24" s="51">
        <v>10</v>
      </c>
      <c r="B24" s="51">
        <v>345</v>
      </c>
      <c r="C24" s="52" t="s">
        <v>287</v>
      </c>
      <c r="D24" s="51"/>
      <c r="E24" s="255"/>
      <c r="F24" s="243">
        <v>0</v>
      </c>
      <c r="G24" s="243"/>
      <c r="H24" s="243"/>
      <c r="I24" s="243"/>
      <c r="J24" s="245"/>
      <c r="K24" s="240">
        <f t="shared" si="0"/>
        <v>0</v>
      </c>
    </row>
    <row r="25" spans="1:11" ht="21" customHeight="1" x14ac:dyDescent="0.25">
      <c r="A25" s="56"/>
      <c r="B25" s="56"/>
      <c r="C25" s="52" t="s">
        <v>288</v>
      </c>
      <c r="D25" s="51" t="s">
        <v>277</v>
      </c>
      <c r="E25" s="242">
        <v>102411193.48999999</v>
      </c>
      <c r="F25" s="243">
        <v>49972051.549187325</v>
      </c>
      <c r="G25" s="243">
        <f>E25-F25</f>
        <v>52439141.94081267</v>
      </c>
      <c r="H25" s="243">
        <f>G25*90%</f>
        <v>47195227.7467314</v>
      </c>
      <c r="I25" s="243">
        <f>H25*J25</f>
        <v>6026830.5832576007</v>
      </c>
      <c r="J25" s="248">
        <v>0.12770000000000001</v>
      </c>
      <c r="K25" s="240">
        <f t="shared" si="0"/>
        <v>55998882.132444926</v>
      </c>
    </row>
    <row r="26" spans="1:11" ht="16.5" customHeight="1" x14ac:dyDescent="0.2">
      <c r="A26" s="417" t="s">
        <v>278</v>
      </c>
      <c r="B26" s="418"/>
      <c r="C26" s="419"/>
      <c r="D26" s="171"/>
      <c r="E26" s="249">
        <f>SUM(E14:E25)</f>
        <v>1046277823.4400001</v>
      </c>
      <c r="F26" s="250">
        <v>398220859.65774423</v>
      </c>
      <c r="G26" s="249">
        <f>SUM(G15:G25)</f>
        <v>647947583.70225585</v>
      </c>
      <c r="H26" s="249">
        <f>SUM(H15:H25)</f>
        <v>583152825.33203018</v>
      </c>
      <c r="I26" s="249">
        <f>SUM(I15:I25)</f>
        <v>48045906.23394502</v>
      </c>
      <c r="J26" s="251"/>
      <c r="K26" s="240">
        <f t="shared" si="0"/>
        <v>446266765.89168924</v>
      </c>
    </row>
    <row r="27" spans="1:11" ht="21" customHeight="1" x14ac:dyDescent="0.25">
      <c r="A27" s="51">
        <v>11</v>
      </c>
      <c r="B27" s="51">
        <v>350</v>
      </c>
      <c r="C27" s="52" t="s">
        <v>289</v>
      </c>
      <c r="D27" s="51" t="s">
        <v>277</v>
      </c>
      <c r="E27" s="243">
        <v>1457686.25</v>
      </c>
      <c r="F27" s="243">
        <v>1401586.4858071171</v>
      </c>
      <c r="G27" s="243">
        <f>E27-F27</f>
        <v>56099.764192882925</v>
      </c>
      <c r="H27" s="243">
        <f>G27*90%</f>
        <v>50489.787773594631</v>
      </c>
      <c r="I27" s="243">
        <f>H27*J27</f>
        <v>6447.5458986880349</v>
      </c>
      <c r="J27" s="248">
        <v>0.12770000000000001</v>
      </c>
      <c r="K27" s="240">
        <f t="shared" si="0"/>
        <v>1408034.0317058051</v>
      </c>
    </row>
    <row r="28" spans="1:11" ht="21" customHeight="1" x14ac:dyDescent="0.25">
      <c r="A28" s="51">
        <v>12</v>
      </c>
      <c r="B28" s="51">
        <v>351</v>
      </c>
      <c r="C28" s="52" t="s">
        <v>290</v>
      </c>
      <c r="D28" s="51" t="s">
        <v>291</v>
      </c>
      <c r="E28" s="243">
        <v>165000</v>
      </c>
      <c r="F28" s="243">
        <v>100718.05076532459</v>
      </c>
      <c r="G28" s="243">
        <f>E28-F28</f>
        <v>64281.949234675412</v>
      </c>
      <c r="H28" s="243">
        <f>G28*90%</f>
        <v>57853.754311207871</v>
      </c>
      <c r="I28" s="243">
        <f>H28*J28</f>
        <v>7387.9244255412459</v>
      </c>
      <c r="J28" s="248">
        <v>0.12770000000000001</v>
      </c>
      <c r="K28" s="240">
        <f t="shared" si="0"/>
        <v>108105.97519086584</v>
      </c>
    </row>
    <row r="29" spans="1:11" ht="18" customHeight="1" x14ac:dyDescent="0.2">
      <c r="A29" s="417" t="s">
        <v>278</v>
      </c>
      <c r="B29" s="418"/>
      <c r="C29" s="419"/>
      <c r="D29" s="171"/>
      <c r="E29" s="256">
        <f>E28+E27</f>
        <v>1622686.25</v>
      </c>
      <c r="F29" s="256">
        <v>1502304.5365724417</v>
      </c>
      <c r="G29" s="256">
        <f t="shared" ref="G29:I29" si="1">G28+G27</f>
        <v>120381.71342755834</v>
      </c>
      <c r="H29" s="256">
        <f t="shared" si="1"/>
        <v>108343.5420848025</v>
      </c>
      <c r="I29" s="256">
        <f t="shared" si="1"/>
        <v>13835.470324229282</v>
      </c>
      <c r="J29" s="251"/>
      <c r="K29" s="240">
        <f t="shared" si="0"/>
        <v>1516140.0068966709</v>
      </c>
    </row>
    <row r="30" spans="1:11" ht="21" customHeight="1" x14ac:dyDescent="0.2">
      <c r="A30" s="417" t="s">
        <v>292</v>
      </c>
      <c r="B30" s="418"/>
      <c r="C30" s="419"/>
      <c r="D30" s="171"/>
      <c r="E30" s="249">
        <f>E13+E26+E29</f>
        <v>2493342145.8900003</v>
      </c>
      <c r="F30" s="250">
        <v>932360738.65596211</v>
      </c>
      <c r="G30" s="249">
        <f>G13+G26+G29</f>
        <v>1560872027.154038</v>
      </c>
      <c r="H30" s="249">
        <f>H13+H26+H29</f>
        <v>1404784824.4386339</v>
      </c>
      <c r="I30" s="249">
        <f>I13+I26+I29</f>
        <v>112484107.40498686</v>
      </c>
      <c r="J30" s="251"/>
      <c r="K30" s="240">
        <f t="shared" si="0"/>
        <v>1044844846.060949</v>
      </c>
    </row>
    <row r="31" spans="1:11" ht="14.1" customHeight="1" x14ac:dyDescent="0.25">
      <c r="A31" s="171"/>
      <c r="B31" s="171"/>
      <c r="C31" s="171"/>
      <c r="D31" s="171"/>
      <c r="E31" s="249"/>
      <c r="F31" s="243">
        <v>0</v>
      </c>
      <c r="G31" s="249"/>
      <c r="H31" s="249"/>
      <c r="I31" s="249"/>
      <c r="J31" s="251"/>
      <c r="K31" s="240">
        <f t="shared" si="0"/>
        <v>0</v>
      </c>
    </row>
    <row r="32" spans="1:11" ht="15.95" customHeight="1" x14ac:dyDescent="0.25">
      <c r="A32" s="51">
        <v>1</v>
      </c>
      <c r="B32" s="51">
        <v>360</v>
      </c>
      <c r="C32" s="52" t="s">
        <v>293</v>
      </c>
      <c r="D32" s="51"/>
      <c r="E32" s="243">
        <v>45807.67</v>
      </c>
      <c r="F32" s="243">
        <v>0</v>
      </c>
      <c r="G32" s="243"/>
      <c r="H32" s="243"/>
      <c r="I32" s="257"/>
      <c r="J32" s="245"/>
      <c r="K32" s="240">
        <f t="shared" si="0"/>
        <v>0</v>
      </c>
    </row>
    <row r="33" spans="1:11" ht="15.95" customHeight="1" x14ac:dyDescent="0.25">
      <c r="A33" s="51">
        <v>2</v>
      </c>
      <c r="B33" s="51">
        <v>361</v>
      </c>
      <c r="C33" s="52" t="s">
        <v>293</v>
      </c>
      <c r="D33" s="51"/>
      <c r="E33" s="243"/>
      <c r="F33" s="243">
        <v>0</v>
      </c>
      <c r="G33" s="243"/>
      <c r="H33" s="243"/>
      <c r="I33" s="243"/>
      <c r="J33" s="245"/>
      <c r="K33" s="240">
        <f t="shared" si="0"/>
        <v>0</v>
      </c>
    </row>
    <row r="34" spans="1:11" ht="15.95" customHeight="1" x14ac:dyDescent="0.25">
      <c r="A34" s="51"/>
      <c r="B34" s="51"/>
      <c r="C34" s="52" t="s">
        <v>294</v>
      </c>
      <c r="D34" s="51" t="s">
        <v>295</v>
      </c>
      <c r="E34" s="243">
        <v>12310.68</v>
      </c>
      <c r="F34" s="243">
        <v>0</v>
      </c>
      <c r="G34" s="243"/>
      <c r="H34" s="243"/>
      <c r="I34" s="243"/>
      <c r="J34" s="245"/>
      <c r="K34" s="240">
        <f t="shared" si="0"/>
        <v>0</v>
      </c>
    </row>
    <row r="35" spans="1:11" ht="15.95" customHeight="1" x14ac:dyDescent="0.25">
      <c r="A35" s="51">
        <v>3</v>
      </c>
      <c r="B35" s="51">
        <v>362</v>
      </c>
      <c r="C35" s="52" t="s">
        <v>296</v>
      </c>
      <c r="D35" s="51" t="s">
        <v>297</v>
      </c>
      <c r="E35" s="243">
        <v>169370.64</v>
      </c>
      <c r="F35" s="243">
        <v>81691.217665457589</v>
      </c>
      <c r="G35" s="243">
        <f>E35-F35</f>
        <v>87679.422334542425</v>
      </c>
      <c r="H35" s="243">
        <f>G35*90%</f>
        <v>78911.480101088178</v>
      </c>
      <c r="I35" s="243">
        <f>H35*J35</f>
        <v>2525.1673632348216</v>
      </c>
      <c r="J35" s="245">
        <v>3.2000000000000001E-2</v>
      </c>
      <c r="K35" s="240">
        <f t="shared" si="0"/>
        <v>84216.385028692413</v>
      </c>
    </row>
    <row r="36" spans="1:11" ht="15.95" customHeight="1" x14ac:dyDescent="0.25">
      <c r="A36" s="51">
        <v>4</v>
      </c>
      <c r="B36" s="51" t="s">
        <v>298</v>
      </c>
      <c r="C36" s="52" t="s">
        <v>299</v>
      </c>
      <c r="D36" s="51"/>
      <c r="E36" s="243"/>
      <c r="F36" s="243">
        <v>0</v>
      </c>
      <c r="G36" s="243"/>
      <c r="H36" s="243"/>
      <c r="I36" s="243"/>
      <c r="J36" s="245"/>
      <c r="K36" s="240">
        <f t="shared" si="0"/>
        <v>0</v>
      </c>
    </row>
    <row r="37" spans="1:11" ht="15.95" customHeight="1" x14ac:dyDescent="0.25">
      <c r="A37" s="51"/>
      <c r="B37" s="51"/>
      <c r="C37" s="52" t="s">
        <v>300</v>
      </c>
      <c r="D37" s="51" t="s">
        <v>297</v>
      </c>
      <c r="E37" s="243">
        <v>3215739.42</v>
      </c>
      <c r="F37" s="243">
        <v>1576470.7501979251</v>
      </c>
      <c r="G37" s="243">
        <f>E37-F37</f>
        <v>1639268.6698020748</v>
      </c>
      <c r="H37" s="243">
        <f>G37*90%</f>
        <v>1475341.8028218674</v>
      </c>
      <c r="I37" s="243">
        <f>H37*J37</f>
        <v>47210.937690299761</v>
      </c>
      <c r="J37" s="245">
        <v>3.2000000000000001E-2</v>
      </c>
      <c r="K37" s="240">
        <f t="shared" si="0"/>
        <v>1623681.6878882248</v>
      </c>
    </row>
    <row r="38" spans="1:11" ht="15.95" customHeight="1" x14ac:dyDescent="0.25">
      <c r="A38" s="51">
        <v>5</v>
      </c>
      <c r="B38" s="51" t="s">
        <v>301</v>
      </c>
      <c r="C38" s="52" t="s">
        <v>302</v>
      </c>
      <c r="D38" s="51"/>
      <c r="E38" s="243"/>
      <c r="F38" s="243">
        <v>0</v>
      </c>
      <c r="G38" s="243"/>
      <c r="H38" s="243"/>
      <c r="I38" s="243"/>
      <c r="J38" s="245"/>
      <c r="K38" s="240">
        <f t="shared" si="0"/>
        <v>0</v>
      </c>
    </row>
    <row r="39" spans="1:11" ht="15.95" customHeight="1" x14ac:dyDescent="0.25">
      <c r="A39" s="51"/>
      <c r="B39" s="51"/>
      <c r="C39" s="52" t="s">
        <v>303</v>
      </c>
      <c r="D39" s="51" t="s">
        <v>297</v>
      </c>
      <c r="E39" s="243">
        <v>2310528.75</v>
      </c>
      <c r="F39" s="243">
        <v>747697.52688300551</v>
      </c>
      <c r="G39" s="243">
        <f>E39-F39</f>
        <v>1562831.2231169944</v>
      </c>
      <c r="H39" s="243">
        <f>G39*90%</f>
        <v>1406548.1008052949</v>
      </c>
      <c r="I39" s="243">
        <f>H39*J39</f>
        <v>45009.53922576944</v>
      </c>
      <c r="J39" s="245">
        <v>3.2000000000000001E-2</v>
      </c>
      <c r="K39" s="240">
        <f t="shared" si="0"/>
        <v>792707.06610877498</v>
      </c>
    </row>
    <row r="40" spans="1:11" ht="15.95" customHeight="1" x14ac:dyDescent="0.25">
      <c r="A40" s="51">
        <v>6</v>
      </c>
      <c r="B40" s="51" t="s">
        <v>304</v>
      </c>
      <c r="C40" s="52" t="s">
        <v>305</v>
      </c>
      <c r="D40" s="51" t="s">
        <v>297</v>
      </c>
      <c r="E40" s="243">
        <v>28348.41</v>
      </c>
      <c r="F40" s="243">
        <v>13687.856815472733</v>
      </c>
      <c r="G40" s="243">
        <f>E40-F40</f>
        <v>14660.553184527267</v>
      </c>
      <c r="H40" s="243">
        <f>G40*90%</f>
        <v>13194.49786607454</v>
      </c>
      <c r="I40" s="243">
        <f>H40*J40</f>
        <v>422.22393171438529</v>
      </c>
      <c r="J40" s="245">
        <v>3.2000000000000001E-2</v>
      </c>
      <c r="K40" s="240">
        <f t="shared" si="0"/>
        <v>14110.080747187118</v>
      </c>
    </row>
    <row r="41" spans="1:11" ht="15.95" customHeight="1" x14ac:dyDescent="0.25">
      <c r="A41" s="51">
        <v>7</v>
      </c>
      <c r="B41" s="51">
        <v>363</v>
      </c>
      <c r="C41" s="52" t="s">
        <v>306</v>
      </c>
      <c r="D41" s="51" t="s">
        <v>271</v>
      </c>
      <c r="E41" s="243">
        <v>2126422.1800000002</v>
      </c>
      <c r="F41" s="243">
        <v>1256090.9499999997</v>
      </c>
      <c r="G41" s="243">
        <f>E41-F41</f>
        <v>870331.23000000045</v>
      </c>
      <c r="H41" s="243">
        <f>G41*90%</f>
        <v>783298.10700000043</v>
      </c>
      <c r="I41" s="243">
        <v>39771.15</v>
      </c>
      <c r="J41" s="258">
        <v>0.12770000000000001</v>
      </c>
      <c r="K41" s="240">
        <f t="shared" si="0"/>
        <v>1295862.0999999996</v>
      </c>
    </row>
    <row r="42" spans="1:11" ht="15.95" customHeight="1" x14ac:dyDescent="0.25">
      <c r="A42" s="51">
        <v>8</v>
      </c>
      <c r="B42" s="51" t="s">
        <v>307</v>
      </c>
      <c r="C42" s="52" t="s">
        <v>306</v>
      </c>
      <c r="D42" s="51"/>
      <c r="E42" s="243"/>
      <c r="F42" s="243">
        <v>0</v>
      </c>
      <c r="G42" s="243">
        <f>E42-F42</f>
        <v>0</v>
      </c>
      <c r="H42" s="243">
        <f>G42*90%</f>
        <v>0</v>
      </c>
      <c r="I42" s="243"/>
      <c r="J42" s="258"/>
      <c r="K42" s="240">
        <f t="shared" si="0"/>
        <v>0</v>
      </c>
    </row>
    <row r="43" spans="1:11" ht="15.95" customHeight="1" x14ac:dyDescent="0.25">
      <c r="A43" s="51"/>
      <c r="B43" s="51"/>
      <c r="C43" s="52" t="s">
        <v>308</v>
      </c>
      <c r="D43" s="51" t="s">
        <v>271</v>
      </c>
      <c r="E43" s="243">
        <v>26300</v>
      </c>
      <c r="F43" s="243">
        <v>16396.773523831114</v>
      </c>
      <c r="G43" s="243">
        <f>E43-F43</f>
        <v>9903.2264761688857</v>
      </c>
      <c r="H43" s="243">
        <f>G43*90%</f>
        <v>8912.9038285519982</v>
      </c>
      <c r="I43" s="243">
        <f>H43*J43</f>
        <v>1138.1778189060904</v>
      </c>
      <c r="J43" s="258">
        <v>0.12770000000000001</v>
      </c>
      <c r="K43" s="240">
        <f t="shared" si="0"/>
        <v>17534.951342737204</v>
      </c>
    </row>
    <row r="44" spans="1:11" ht="15.95" customHeight="1" x14ac:dyDescent="0.25">
      <c r="A44" s="51">
        <v>9</v>
      </c>
      <c r="B44" s="51" t="s">
        <v>309</v>
      </c>
      <c r="C44" s="52" t="s">
        <v>310</v>
      </c>
      <c r="D44" s="51" t="s">
        <v>295</v>
      </c>
      <c r="E44" s="243">
        <v>335371.84000000003</v>
      </c>
      <c r="F44" s="243">
        <v>0</v>
      </c>
      <c r="G44" s="250" t="s">
        <v>311</v>
      </c>
      <c r="H44" s="250" t="s">
        <v>311</v>
      </c>
      <c r="I44" s="250"/>
      <c r="J44" s="256" t="s">
        <v>311</v>
      </c>
      <c r="K44" s="240">
        <f t="shared" si="0"/>
        <v>0</v>
      </c>
    </row>
    <row r="45" spans="1:11" ht="15.95" customHeight="1" x14ac:dyDescent="0.25">
      <c r="A45" s="51">
        <v>10</v>
      </c>
      <c r="B45" s="51">
        <v>365</v>
      </c>
      <c r="C45" s="52" t="s">
        <v>312</v>
      </c>
      <c r="D45" s="51"/>
      <c r="E45" s="243"/>
      <c r="F45" s="243">
        <v>0</v>
      </c>
      <c r="G45" s="243"/>
      <c r="H45" s="243"/>
      <c r="I45" s="243"/>
      <c r="J45" s="258"/>
      <c r="K45" s="240">
        <f t="shared" si="0"/>
        <v>0</v>
      </c>
    </row>
    <row r="46" spans="1:11" ht="15.95" customHeight="1" x14ac:dyDescent="0.25">
      <c r="A46" s="51"/>
      <c r="B46" s="51"/>
      <c r="C46" s="52" t="s">
        <v>313</v>
      </c>
      <c r="D46" s="51" t="s">
        <v>271</v>
      </c>
      <c r="E46" s="243">
        <v>116674.69</v>
      </c>
      <c r="F46" s="243">
        <v>105287</v>
      </c>
      <c r="G46" s="243">
        <f>E46-F46</f>
        <v>11387.690000000002</v>
      </c>
      <c r="H46" s="243"/>
      <c r="I46" s="243"/>
      <c r="J46" s="258">
        <v>0.12770000000000001</v>
      </c>
      <c r="K46" s="240">
        <f t="shared" si="0"/>
        <v>105287</v>
      </c>
    </row>
    <row r="47" spans="1:11" ht="15.95" customHeight="1" x14ac:dyDescent="0.25">
      <c r="A47" s="51">
        <v>11</v>
      </c>
      <c r="B47" s="51">
        <v>366</v>
      </c>
      <c r="C47" s="52" t="s">
        <v>314</v>
      </c>
      <c r="D47" s="51" t="s">
        <v>271</v>
      </c>
      <c r="E47" s="243"/>
      <c r="F47" s="243">
        <v>0</v>
      </c>
      <c r="G47" s="250" t="s">
        <v>311</v>
      </c>
      <c r="H47" s="250" t="s">
        <v>311</v>
      </c>
      <c r="I47" s="250"/>
      <c r="J47" s="256" t="s">
        <v>311</v>
      </c>
      <c r="K47" s="240">
        <f t="shared" si="0"/>
        <v>0</v>
      </c>
    </row>
    <row r="48" spans="1:11" ht="15.95" customHeight="1" x14ac:dyDescent="0.25">
      <c r="A48" s="51">
        <v>12</v>
      </c>
      <c r="B48" s="51">
        <v>367</v>
      </c>
      <c r="C48" s="52" t="s">
        <v>315</v>
      </c>
      <c r="D48" s="51" t="s">
        <v>271</v>
      </c>
      <c r="E48" s="243">
        <v>226166.88</v>
      </c>
      <c r="F48" s="243">
        <v>205018.31</v>
      </c>
      <c r="G48" s="243">
        <f>E48-F48</f>
        <v>21148.570000000007</v>
      </c>
      <c r="H48" s="243"/>
      <c r="I48" s="243"/>
      <c r="J48" s="258">
        <v>0.12770000000000001</v>
      </c>
      <c r="K48" s="240">
        <f t="shared" si="0"/>
        <v>205018.31</v>
      </c>
    </row>
    <row r="49" spans="1:11" ht="15.95" customHeight="1" x14ac:dyDescent="0.25">
      <c r="A49" s="51">
        <v>13</v>
      </c>
      <c r="B49" s="51" t="s">
        <v>316</v>
      </c>
      <c r="C49" s="52" t="s">
        <v>315</v>
      </c>
      <c r="D49" s="51"/>
      <c r="E49" s="243"/>
      <c r="F49" s="243">
        <v>0</v>
      </c>
      <c r="G49" s="243"/>
      <c r="H49" s="243"/>
      <c r="I49" s="243"/>
      <c r="J49" s="258"/>
      <c r="K49" s="240">
        <f t="shared" si="0"/>
        <v>0</v>
      </c>
    </row>
    <row r="50" spans="1:11" ht="15.95" customHeight="1" x14ac:dyDescent="0.25">
      <c r="A50" s="51"/>
      <c r="B50" s="51"/>
      <c r="C50" s="52" t="s">
        <v>317</v>
      </c>
      <c r="D50" s="51" t="s">
        <v>271</v>
      </c>
      <c r="E50" s="243"/>
      <c r="F50" s="243">
        <v>0</v>
      </c>
      <c r="G50" s="243"/>
      <c r="H50" s="243"/>
      <c r="I50" s="243"/>
      <c r="J50" s="258">
        <v>0.12770000000000001</v>
      </c>
      <c r="K50" s="240">
        <f t="shared" si="0"/>
        <v>0</v>
      </c>
    </row>
    <row r="51" spans="1:11" ht="15.95" customHeight="1" x14ac:dyDescent="0.25">
      <c r="A51" s="51"/>
      <c r="B51" s="51"/>
      <c r="C51" s="52"/>
      <c r="D51" s="51"/>
      <c r="E51" s="243"/>
      <c r="F51" s="243">
        <v>0</v>
      </c>
      <c r="G51" s="243"/>
      <c r="H51" s="243"/>
      <c r="I51" s="243"/>
      <c r="J51" s="258"/>
      <c r="K51" s="240">
        <f t="shared" si="0"/>
        <v>0</v>
      </c>
    </row>
    <row r="52" spans="1:11" ht="15.95" customHeight="1" x14ac:dyDescent="0.25">
      <c r="A52" s="51">
        <v>14</v>
      </c>
      <c r="B52" s="51">
        <v>368</v>
      </c>
      <c r="C52" s="52" t="s">
        <v>318</v>
      </c>
      <c r="D52" s="51" t="s">
        <v>319</v>
      </c>
      <c r="E52" s="243">
        <v>824537</v>
      </c>
      <c r="F52" s="243">
        <v>458811.31619929569</v>
      </c>
      <c r="G52" s="243">
        <f>E52-F52</f>
        <v>365725.68380070431</v>
      </c>
      <c r="H52" s="243">
        <f>G52*90%</f>
        <v>329153.11542063387</v>
      </c>
      <c r="I52" s="243">
        <f>H52*J52</f>
        <v>25805.604248977696</v>
      </c>
      <c r="J52" s="258">
        <v>7.8399999999999997E-2</v>
      </c>
      <c r="K52" s="240">
        <f t="shared" si="0"/>
        <v>484616.92044827336</v>
      </c>
    </row>
    <row r="53" spans="1:11" ht="15.95" customHeight="1" x14ac:dyDescent="0.25">
      <c r="A53" s="51">
        <v>15</v>
      </c>
      <c r="B53" s="51" t="s">
        <v>320</v>
      </c>
      <c r="C53" s="52" t="s">
        <v>321</v>
      </c>
      <c r="D53" s="51"/>
      <c r="E53" s="243"/>
      <c r="F53" s="243">
        <v>0</v>
      </c>
      <c r="G53" s="243"/>
      <c r="H53" s="243"/>
      <c r="I53" s="243"/>
      <c r="J53" s="258"/>
      <c r="K53" s="240">
        <f t="shared" si="0"/>
        <v>0</v>
      </c>
    </row>
    <row r="54" spans="1:11" ht="15.95" customHeight="1" x14ac:dyDescent="0.25">
      <c r="A54" s="51"/>
      <c r="B54" s="51"/>
      <c r="C54" s="52" t="s">
        <v>322</v>
      </c>
      <c r="D54" s="51" t="s">
        <v>277</v>
      </c>
      <c r="E54" s="243"/>
      <c r="F54" s="243">
        <v>0</v>
      </c>
      <c r="G54" s="243"/>
      <c r="H54" s="243"/>
      <c r="I54" s="243"/>
      <c r="J54" s="258">
        <v>0.12770000000000001</v>
      </c>
      <c r="K54" s="240">
        <f t="shared" si="0"/>
        <v>0</v>
      </c>
    </row>
    <row r="55" spans="1:11" ht="15.95" customHeight="1" x14ac:dyDescent="0.25">
      <c r="A55" s="51">
        <v>16</v>
      </c>
      <c r="B55" s="51">
        <v>369</v>
      </c>
      <c r="C55" s="52" t="s">
        <v>323</v>
      </c>
      <c r="D55" s="51"/>
      <c r="E55" s="243"/>
      <c r="F55" s="243">
        <v>0</v>
      </c>
      <c r="G55" s="243"/>
      <c r="H55" s="243"/>
      <c r="I55" s="243"/>
      <c r="J55" s="258"/>
      <c r="K55" s="240">
        <f t="shared" si="0"/>
        <v>0</v>
      </c>
    </row>
    <row r="56" spans="1:11" ht="15.95" customHeight="1" x14ac:dyDescent="0.25">
      <c r="A56" s="51"/>
      <c r="B56" s="51"/>
      <c r="C56" s="52" t="s">
        <v>324</v>
      </c>
      <c r="D56" s="51" t="s">
        <v>271</v>
      </c>
      <c r="E56" s="243">
        <v>44264.480000000003</v>
      </c>
      <c r="F56" s="243">
        <v>39829.389672331527</v>
      </c>
      <c r="G56" s="243">
        <f>E56-F56</f>
        <v>4435.0903276684767</v>
      </c>
      <c r="H56" s="243">
        <f>G56*90%</f>
        <v>3991.581294901629</v>
      </c>
      <c r="I56" s="243">
        <f>H56*J56</f>
        <v>509.72493135893808</v>
      </c>
      <c r="J56" s="258">
        <v>0.12770000000000001</v>
      </c>
      <c r="K56" s="240">
        <f t="shared" si="0"/>
        <v>40339.114603690461</v>
      </c>
    </row>
    <row r="57" spans="1:11" ht="15.95" customHeight="1" x14ac:dyDescent="0.25">
      <c r="A57" s="51">
        <v>17</v>
      </c>
      <c r="B57" s="51">
        <v>385</v>
      </c>
      <c r="C57" s="52" t="s">
        <v>325</v>
      </c>
      <c r="D57" s="51"/>
      <c r="E57" s="243">
        <v>50874.32</v>
      </c>
      <c r="F57" s="243">
        <v>27357.33751168715</v>
      </c>
      <c r="G57" s="243">
        <f>E57-F57</f>
        <v>23516.982488312849</v>
      </c>
      <c r="H57" s="243">
        <f>G57*90%</f>
        <v>21165.284239481563</v>
      </c>
      <c r="I57" s="243">
        <f>H57*J57</f>
        <v>677.28909566341008</v>
      </c>
      <c r="J57" s="258">
        <v>3.2000000000000001E-2</v>
      </c>
      <c r="K57" s="240">
        <f t="shared" si="0"/>
        <v>28034.626607350561</v>
      </c>
    </row>
    <row r="58" spans="1:11" ht="15.95" customHeight="1" x14ac:dyDescent="0.25">
      <c r="A58" s="51"/>
      <c r="B58" s="51"/>
      <c r="C58" s="52"/>
      <c r="D58" s="51"/>
      <c r="E58" s="243"/>
      <c r="F58" s="243">
        <v>0</v>
      </c>
      <c r="G58" s="243"/>
      <c r="H58" s="243"/>
      <c r="I58" s="243">
        <f t="shared" ref="I58:I59" si="2">H58*J58</f>
        <v>0</v>
      </c>
      <c r="J58" s="258"/>
      <c r="K58" s="240">
        <f t="shared" si="0"/>
        <v>0</v>
      </c>
    </row>
    <row r="59" spans="1:11" ht="15.95" customHeight="1" x14ac:dyDescent="0.25">
      <c r="A59" s="51">
        <v>18</v>
      </c>
      <c r="B59" s="51">
        <v>387</v>
      </c>
      <c r="C59" s="52" t="s">
        <v>326</v>
      </c>
      <c r="D59" s="51" t="s">
        <v>327</v>
      </c>
      <c r="E59" s="243">
        <v>5102040.17</v>
      </c>
      <c r="F59" s="243">
        <v>3652727.6741497726</v>
      </c>
      <c r="G59" s="243">
        <f>E59-F59</f>
        <v>1449312.4958502273</v>
      </c>
      <c r="H59" s="243">
        <f>G59*90%</f>
        <v>1304381.2462652046</v>
      </c>
      <c r="I59" s="243">
        <f t="shared" si="2"/>
        <v>166569.48514806665</v>
      </c>
      <c r="J59" s="258">
        <v>0.12770000000000001</v>
      </c>
      <c r="K59" s="240">
        <f t="shared" si="0"/>
        <v>3819297.1592978393</v>
      </c>
    </row>
    <row r="60" spans="1:11" ht="15.95" customHeight="1" x14ac:dyDescent="0.25">
      <c r="A60" s="51"/>
      <c r="B60" s="51"/>
      <c r="C60" s="52"/>
      <c r="D60" s="51"/>
      <c r="E60" s="243"/>
      <c r="F60" s="243">
        <v>0</v>
      </c>
      <c r="G60" s="243"/>
      <c r="H60" s="243"/>
      <c r="I60" s="243"/>
      <c r="J60" s="258"/>
      <c r="K60" s="240">
        <f t="shared" si="0"/>
        <v>0</v>
      </c>
    </row>
    <row r="61" spans="1:11" ht="15.95" customHeight="1" x14ac:dyDescent="0.25">
      <c r="A61" s="51">
        <v>19</v>
      </c>
      <c r="B61" s="51" t="s">
        <v>328</v>
      </c>
      <c r="C61" s="52" t="s">
        <v>329</v>
      </c>
      <c r="D61" s="51" t="s">
        <v>271</v>
      </c>
      <c r="E61" s="243">
        <v>193833.3</v>
      </c>
      <c r="F61" s="243">
        <v>178953.07990212561</v>
      </c>
      <c r="G61" s="243">
        <f>E61-F61</f>
        <v>14880.220097874379</v>
      </c>
      <c r="H61" s="243">
        <f>G61*90%</f>
        <v>13392.198088086941</v>
      </c>
      <c r="I61" s="243">
        <f>H61*J61</f>
        <v>1710.1836958487024</v>
      </c>
      <c r="J61" s="258">
        <v>0.12770000000000001</v>
      </c>
      <c r="K61" s="240">
        <f t="shared" si="0"/>
        <v>180663.26359797432</v>
      </c>
    </row>
    <row r="62" spans="1:11" ht="15.95" customHeight="1" x14ac:dyDescent="0.25">
      <c r="A62" s="51"/>
      <c r="B62" s="51"/>
      <c r="C62" s="52"/>
      <c r="D62" s="51"/>
      <c r="E62" s="243"/>
      <c r="F62" s="243">
        <v>0</v>
      </c>
      <c r="G62" s="243">
        <f t="shared" ref="G62:G73" si="3">E62-F62</f>
        <v>0</v>
      </c>
      <c r="H62" s="243">
        <f t="shared" ref="H62:H73" si="4">G62*90%</f>
        <v>0</v>
      </c>
      <c r="I62" s="243">
        <f t="shared" ref="I62:I73" si="5">H62*J62</f>
        <v>0</v>
      </c>
      <c r="J62" s="258"/>
      <c r="K62" s="240">
        <f t="shared" si="0"/>
        <v>0</v>
      </c>
    </row>
    <row r="63" spans="1:11" ht="15.95" customHeight="1" x14ac:dyDescent="0.25">
      <c r="A63" s="51">
        <v>20</v>
      </c>
      <c r="B63" s="51" t="s">
        <v>330</v>
      </c>
      <c r="C63" s="52" t="s">
        <v>331</v>
      </c>
      <c r="D63" s="51" t="s">
        <v>319</v>
      </c>
      <c r="E63" s="243">
        <v>354080</v>
      </c>
      <c r="F63" s="243">
        <v>226881.06350438893</v>
      </c>
      <c r="G63" s="243">
        <f t="shared" si="3"/>
        <v>127198.93649561107</v>
      </c>
      <c r="H63" s="243">
        <f t="shared" si="4"/>
        <v>114479.04284604997</v>
      </c>
      <c r="I63" s="243">
        <f t="shared" si="5"/>
        <v>14618.973771440582</v>
      </c>
      <c r="J63" s="258">
        <v>0.12770000000000001</v>
      </c>
      <c r="K63" s="240">
        <f t="shared" si="0"/>
        <v>241500.03727582953</v>
      </c>
    </row>
    <row r="64" spans="1:11" ht="15.95" customHeight="1" x14ac:dyDescent="0.25">
      <c r="A64" s="51"/>
      <c r="B64" s="51"/>
      <c r="C64" s="52"/>
      <c r="D64" s="51"/>
      <c r="E64" s="243"/>
      <c r="F64" s="243">
        <v>0</v>
      </c>
      <c r="G64" s="243"/>
      <c r="H64" s="243"/>
      <c r="I64" s="243"/>
      <c r="J64" s="258"/>
      <c r="K64" s="240">
        <f t="shared" si="0"/>
        <v>0</v>
      </c>
    </row>
    <row r="65" spans="1:11" ht="15.95" customHeight="1" x14ac:dyDescent="0.25">
      <c r="A65" s="51">
        <v>21</v>
      </c>
      <c r="B65" s="51" t="s">
        <v>332</v>
      </c>
      <c r="C65" s="52" t="s">
        <v>333</v>
      </c>
      <c r="D65" s="51" t="s">
        <v>319</v>
      </c>
      <c r="E65" s="243">
        <v>710500</v>
      </c>
      <c r="F65" s="243">
        <v>230409.54201963125</v>
      </c>
      <c r="G65" s="243">
        <f t="shared" si="3"/>
        <v>480090.45798036875</v>
      </c>
      <c r="H65" s="243">
        <f t="shared" si="4"/>
        <v>432081.4121823319</v>
      </c>
      <c r="I65" s="243">
        <f t="shared" si="5"/>
        <v>55176.796335683786</v>
      </c>
      <c r="J65" s="258">
        <v>0.12770000000000001</v>
      </c>
      <c r="K65" s="240">
        <f t="shared" si="0"/>
        <v>285586.33835531503</v>
      </c>
    </row>
    <row r="66" spans="1:11" ht="15.95" customHeight="1" x14ac:dyDescent="0.25">
      <c r="A66" s="51"/>
      <c r="B66" s="51"/>
      <c r="C66" s="52"/>
      <c r="D66" s="51"/>
      <c r="E66" s="243"/>
      <c r="F66" s="243">
        <v>0</v>
      </c>
      <c r="G66" s="243">
        <f t="shared" si="3"/>
        <v>0</v>
      </c>
      <c r="H66" s="243">
        <f t="shared" si="4"/>
        <v>0</v>
      </c>
      <c r="I66" s="243">
        <f t="shared" si="5"/>
        <v>0</v>
      </c>
      <c r="J66" s="258"/>
      <c r="K66" s="240">
        <f t="shared" si="0"/>
        <v>0</v>
      </c>
    </row>
    <row r="67" spans="1:11" ht="15.95" customHeight="1" x14ac:dyDescent="0.25">
      <c r="A67" s="51">
        <v>22</v>
      </c>
      <c r="B67" s="51">
        <v>388</v>
      </c>
      <c r="C67" s="52" t="s">
        <v>334</v>
      </c>
      <c r="D67" s="51" t="s">
        <v>319</v>
      </c>
      <c r="E67" s="243">
        <v>451369.83</v>
      </c>
      <c r="F67" s="243">
        <v>225071.2939479402</v>
      </c>
      <c r="G67" s="243">
        <f t="shared" si="3"/>
        <v>226298.53605205982</v>
      </c>
      <c r="H67" s="243">
        <f t="shared" si="4"/>
        <v>203668.68244685384</v>
      </c>
      <c r="I67" s="243">
        <f t="shared" si="5"/>
        <v>26008.490748463239</v>
      </c>
      <c r="J67" s="258">
        <v>0.12770000000000001</v>
      </c>
      <c r="K67" s="240">
        <f t="shared" si="0"/>
        <v>251079.78469640343</v>
      </c>
    </row>
    <row r="68" spans="1:11" ht="15.95" customHeight="1" x14ac:dyDescent="0.25">
      <c r="A68" s="51"/>
      <c r="B68" s="51"/>
      <c r="C68" s="52"/>
      <c r="D68" s="51"/>
      <c r="E68" s="243"/>
      <c r="F68" s="243">
        <v>0</v>
      </c>
      <c r="G68" s="243">
        <f t="shared" si="3"/>
        <v>0</v>
      </c>
      <c r="H68" s="243">
        <f t="shared" si="4"/>
        <v>0</v>
      </c>
      <c r="I68" s="243">
        <f t="shared" si="5"/>
        <v>0</v>
      </c>
      <c r="J68" s="258"/>
      <c r="K68" s="240">
        <f t="shared" si="0"/>
        <v>0</v>
      </c>
    </row>
    <row r="69" spans="1:11" ht="15.95" customHeight="1" x14ac:dyDescent="0.25">
      <c r="A69" s="51">
        <v>23</v>
      </c>
      <c r="B69" s="51">
        <v>389</v>
      </c>
      <c r="C69" s="52" t="s">
        <v>335</v>
      </c>
      <c r="D69" s="51" t="s">
        <v>319</v>
      </c>
      <c r="E69" s="243">
        <v>2968278.2</v>
      </c>
      <c r="F69" s="243">
        <v>1030052.319429289</v>
      </c>
      <c r="G69" s="243">
        <f t="shared" si="3"/>
        <v>1938225.8805707111</v>
      </c>
      <c r="H69" s="243">
        <f t="shared" si="4"/>
        <v>1744403.2925136401</v>
      </c>
      <c r="I69" s="243">
        <f t="shared" si="5"/>
        <v>222760.30045399186</v>
      </c>
      <c r="J69" s="258">
        <v>0.12770000000000001</v>
      </c>
      <c r="K69" s="240">
        <f t="shared" si="0"/>
        <v>1252812.6198832807</v>
      </c>
    </row>
    <row r="70" spans="1:11" ht="15.95" customHeight="1" x14ac:dyDescent="0.25">
      <c r="A70" s="51"/>
      <c r="B70" s="51"/>
      <c r="C70" s="52"/>
      <c r="D70" s="51"/>
      <c r="E70" s="243"/>
      <c r="F70" s="243">
        <v>0</v>
      </c>
      <c r="G70" s="243"/>
      <c r="H70" s="243"/>
      <c r="I70" s="243"/>
      <c r="J70" s="258"/>
      <c r="K70" s="240">
        <f t="shared" si="0"/>
        <v>0</v>
      </c>
    </row>
    <row r="71" spans="1:11" ht="45" customHeight="1" x14ac:dyDescent="0.25">
      <c r="A71" s="51">
        <v>24</v>
      </c>
      <c r="B71" s="51">
        <v>390</v>
      </c>
      <c r="C71" s="52" t="s">
        <v>336</v>
      </c>
      <c r="D71" s="51" t="s">
        <v>319</v>
      </c>
      <c r="E71" s="243">
        <v>31900</v>
      </c>
      <c r="F71" s="243">
        <v>19888.101726624056</v>
      </c>
      <c r="G71" s="243">
        <f t="shared" si="3"/>
        <v>12011.898273375944</v>
      </c>
      <c r="H71" s="243">
        <f t="shared" si="4"/>
        <v>10810.70844603835</v>
      </c>
      <c r="I71" s="243">
        <f t="shared" si="5"/>
        <v>1380.5274685590973</v>
      </c>
      <c r="J71" s="258">
        <v>0.12770000000000001</v>
      </c>
      <c r="K71" s="240">
        <f t="shared" si="0"/>
        <v>21268.629195183152</v>
      </c>
    </row>
    <row r="72" spans="1:11" ht="45" customHeight="1" x14ac:dyDescent="0.25">
      <c r="A72" s="51">
        <v>25</v>
      </c>
      <c r="B72" s="51">
        <v>391</v>
      </c>
      <c r="C72" s="52" t="s">
        <v>337</v>
      </c>
      <c r="D72" s="51" t="s">
        <v>319</v>
      </c>
      <c r="E72" s="243">
        <v>97000</v>
      </c>
      <c r="F72" s="243">
        <v>29748.094319795229</v>
      </c>
      <c r="G72" s="243">
        <f t="shared" si="3"/>
        <v>67251.905680204771</v>
      </c>
      <c r="H72" s="243">
        <f t="shared" si="4"/>
        <v>60526.715112184298</v>
      </c>
      <c r="I72" s="243">
        <f t="shared" si="5"/>
        <v>7729.2615198259355</v>
      </c>
      <c r="J72" s="258">
        <v>0.12770000000000001</v>
      </c>
      <c r="K72" s="240">
        <f t="shared" si="0"/>
        <v>37477.355839621167</v>
      </c>
    </row>
    <row r="73" spans="1:11" ht="45" customHeight="1" x14ac:dyDescent="0.25">
      <c r="A73" s="51">
        <v>26</v>
      </c>
      <c r="B73" s="51">
        <v>392</v>
      </c>
      <c r="C73" s="52" t="s">
        <v>338</v>
      </c>
      <c r="D73" s="51" t="s">
        <v>319</v>
      </c>
      <c r="E73" s="243">
        <v>11500</v>
      </c>
      <c r="F73" s="243">
        <v>3526.8359245118058</v>
      </c>
      <c r="G73" s="243">
        <f t="shared" si="3"/>
        <v>7973.1640754881937</v>
      </c>
      <c r="H73" s="243">
        <f t="shared" si="4"/>
        <v>7175.8476679393743</v>
      </c>
      <c r="I73" s="243">
        <f t="shared" si="5"/>
        <v>916.35574719585816</v>
      </c>
      <c r="J73" s="258">
        <v>0.12770000000000001</v>
      </c>
      <c r="K73" s="240">
        <f t="shared" si="0"/>
        <v>4443.1916717076638</v>
      </c>
    </row>
    <row r="74" spans="1:11" ht="15.95" customHeight="1" x14ac:dyDescent="0.2">
      <c r="A74" s="57"/>
      <c r="B74" s="57"/>
      <c r="C74" s="58" t="s">
        <v>339</v>
      </c>
      <c r="D74" s="57"/>
      <c r="E74" s="256">
        <f>SUM(E32:E73)</f>
        <v>19453218.460000001</v>
      </c>
      <c r="F74" s="250">
        <v>10125596.433393084</v>
      </c>
      <c r="G74" s="250">
        <f t="shared" ref="G74:I74" si="6">SUM(G31:G73)</f>
        <v>8934131.8366069179</v>
      </c>
      <c r="H74" s="250">
        <f t="shared" si="6"/>
        <v>8011436.0189462239</v>
      </c>
      <c r="I74" s="250">
        <f t="shared" si="6"/>
        <v>659940.18919500022</v>
      </c>
      <c r="J74" s="259"/>
      <c r="K74" s="240">
        <f t="shared" ref="K74:K77" si="7">I74+F74</f>
        <v>10785536.622588083</v>
      </c>
    </row>
    <row r="75" spans="1:11" ht="21" customHeight="1" x14ac:dyDescent="0.25">
      <c r="A75" s="57"/>
      <c r="B75" s="413"/>
      <c r="C75" s="415"/>
      <c r="D75" s="57"/>
      <c r="E75" s="260"/>
      <c r="F75" s="240">
        <v>0</v>
      </c>
      <c r="G75" s="259"/>
      <c r="H75" s="259"/>
      <c r="I75" s="259"/>
      <c r="J75" s="259"/>
      <c r="K75" s="240">
        <f t="shared" si="7"/>
        <v>0</v>
      </c>
    </row>
    <row r="76" spans="1:11" ht="27.75" customHeight="1" x14ac:dyDescent="0.2">
      <c r="A76" s="50">
        <v>25</v>
      </c>
      <c r="B76" s="50">
        <v>364</v>
      </c>
      <c r="C76" s="57" t="s">
        <v>340</v>
      </c>
      <c r="D76" s="57"/>
      <c r="E76" s="260">
        <v>4507445.17</v>
      </c>
      <c r="F76" s="240">
        <v>3389642.6716742003</v>
      </c>
      <c r="G76" s="240">
        <f>E76-F76</f>
        <v>1117802.4983257996</v>
      </c>
      <c r="H76" s="240">
        <v>887184.77</v>
      </c>
      <c r="I76" s="261">
        <f>'[1]2022-23 proj '!H11</f>
        <v>68362.021998900003</v>
      </c>
      <c r="J76" s="259"/>
      <c r="K76" s="240">
        <f t="shared" si="7"/>
        <v>3458004.6936731003</v>
      </c>
    </row>
    <row r="77" spans="1:11" ht="21" customHeight="1" x14ac:dyDescent="0.25">
      <c r="A77" s="413" t="s">
        <v>341</v>
      </c>
      <c r="B77" s="414"/>
      <c r="C77" s="415"/>
      <c r="D77" s="59"/>
      <c r="E77" s="262">
        <f>E76+E74+E30</f>
        <v>2517302809.5200005</v>
      </c>
      <c r="F77" s="262">
        <v>945875977.76102936</v>
      </c>
      <c r="G77" s="262">
        <f t="shared" ref="G77:J77" si="8">G76+G74+G30</f>
        <v>1570923961.4889708</v>
      </c>
      <c r="H77" s="262">
        <f t="shared" si="8"/>
        <v>1413683445.2275801</v>
      </c>
      <c r="I77" s="262">
        <f t="shared" si="8"/>
        <v>113212409.61618076</v>
      </c>
      <c r="J77" s="262">
        <f t="shared" si="8"/>
        <v>0</v>
      </c>
      <c r="K77" s="241">
        <f t="shared" si="7"/>
        <v>1059088387.3772101</v>
      </c>
    </row>
    <row r="78" spans="1:11" ht="21" customHeight="1" x14ac:dyDescent="0.2">
      <c r="F78" s="61"/>
      <c r="G78" s="60"/>
    </row>
    <row r="80" spans="1:11" ht="21" customHeight="1" x14ac:dyDescent="0.2">
      <c r="C80" s="62"/>
    </row>
  </sheetData>
  <mergeCells count="7">
    <mergeCell ref="A77:C77"/>
    <mergeCell ref="A1:K1"/>
    <mergeCell ref="A13:C13"/>
    <mergeCell ref="A26:C26"/>
    <mergeCell ref="A29:C29"/>
    <mergeCell ref="A30:C30"/>
    <mergeCell ref="B75:C75"/>
  </mergeCells>
  <printOptions horizontalCentered="1"/>
  <pageMargins left="0" right="0.25" top="0.25" bottom="0.25" header="0.5" footer="0.5"/>
  <pageSetup paperSize="9" orientation="landscape" r:id="rId1"/>
  <headerFooter alignWithMargins="0"/>
  <rowBreaks count="1" manualBreakCount="1"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Point 2</vt:lpstr>
      <vt:lpstr>Point 4</vt:lpstr>
      <vt:lpstr>Point 6</vt:lpstr>
      <vt:lpstr>point 8</vt:lpstr>
      <vt:lpstr>Point 10</vt:lpstr>
      <vt:lpstr>Point 11</vt:lpstr>
      <vt:lpstr>Point 12</vt:lpstr>
      <vt:lpstr>Point 13 wage workign sheet</vt:lpstr>
      <vt:lpstr>2022-23 depriciation worksheet </vt:lpstr>
      <vt:lpstr>2022-23 dep work sheet1 </vt:lpstr>
      <vt:lpstr>Adm Exp work sheet</vt:lpstr>
      <vt:lpstr>R&amp;M Exp Working sheet</vt:lpstr>
      <vt:lpstr>Loan intrest working sheet</vt:lpstr>
      <vt:lpstr>Int on Consumer S.D. work sheet</vt:lpstr>
      <vt:lpstr>Point 16</vt:lpstr>
      <vt:lpstr>Capital Programme</vt:lpstr>
      <vt:lpstr>Head wise fixe assets</vt:lpstr>
      <vt:lpstr>H.T. services</vt:lpstr>
      <vt:lpstr>'Point 11'!Print_Area</vt:lpstr>
      <vt:lpstr>'2022-23 depriciation worksheet '!Print_Titles</vt:lpstr>
      <vt:lpstr>'Adm Exp work sheet'!Print_Titles</vt:lpstr>
      <vt:lpstr>'H.T. services'!Print_Titles</vt:lpstr>
      <vt:lpstr>'Head wise fixe assets'!Print_Titles</vt:lpstr>
      <vt:lpstr>'Point 12'!Print_Titles</vt:lpstr>
      <vt:lpstr>'H.T. services'!total_dec_ht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</dc:creator>
  <cp:lastModifiedBy>91944</cp:lastModifiedBy>
  <cp:lastPrinted>2022-01-16T14:07:44Z</cp:lastPrinted>
  <dcterms:created xsi:type="dcterms:W3CDTF">2018-08-02T05:38:24Z</dcterms:created>
  <dcterms:modified xsi:type="dcterms:W3CDTF">2022-01-17T05:16:36Z</dcterms:modified>
</cp:coreProperties>
</file>