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930" yWindow="-150" windowWidth="9510" windowHeight="7110" tabRatio="590" activeTab="13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3" sheetId="71" r:id="rId16"/>
    <sheet name="F15" sheetId="91" r:id="rId17"/>
  </sheets>
  <externalReferences>
    <externalReference r:id="rId18"/>
    <externalReference r:id="rId19"/>
    <externalReference r:id="rId20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_xlnm.Print_Area" localSheetId="0">Checklist!$A$1:$E$28</definedName>
    <definedName name="_xlnm.Print_Area" localSheetId="1">'F1'!$A$1:$J$24</definedName>
    <definedName name="_xlnm.Print_Area" localSheetId="2">'F2'!$B$2:$G$16</definedName>
    <definedName name="_xlnm.Print_Area" localSheetId="14">'F9'!$B$2:$D$26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</definedNames>
  <calcPr calcId="144525" iterate="1" iterateCount="10000" iterateDelta="9.9999999999999995E-7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71" l="1"/>
  <c r="M10" i="71"/>
  <c r="L10" i="71"/>
  <c r="K10" i="71"/>
  <c r="J10" i="71"/>
  <c r="I10" i="71"/>
  <c r="H10" i="71"/>
  <c r="G10" i="71"/>
  <c r="F10" i="71"/>
  <c r="E10" i="71"/>
  <c r="D10" i="71"/>
  <c r="C10" i="71"/>
  <c r="N8" i="71"/>
  <c r="M8" i="71"/>
  <c r="L8" i="71"/>
  <c r="K8" i="71"/>
  <c r="J8" i="71"/>
  <c r="I8" i="71"/>
  <c r="H8" i="71"/>
  <c r="G8" i="71"/>
  <c r="F8" i="71"/>
  <c r="E8" i="71"/>
  <c r="D8" i="71"/>
  <c r="C8" i="71"/>
  <c r="K13" i="102" l="1"/>
  <c r="J13" i="102"/>
  <c r="F19" i="102"/>
  <c r="D12" i="71" l="1"/>
  <c r="E12" i="71"/>
  <c r="F12" i="71"/>
  <c r="G12" i="71"/>
  <c r="H12" i="71"/>
  <c r="I12" i="71"/>
  <c r="J12" i="71"/>
  <c r="C12" i="71"/>
  <c r="O10" i="71"/>
  <c r="N12" i="71"/>
  <c r="M12" i="71" l="1"/>
  <c r="L12" i="71"/>
  <c r="O8" i="71"/>
  <c r="O12" i="71" s="1"/>
  <c r="K12" i="71"/>
  <c r="E34" i="106" l="1"/>
  <c r="G16" i="58" s="1"/>
  <c r="H16" i="58" s="1"/>
  <c r="F34" i="106"/>
  <c r="D26" i="106"/>
  <c r="D34" i="106" s="1"/>
  <c r="B11" i="106"/>
  <c r="B12" i="106" s="1"/>
  <c r="B13" i="106" s="1"/>
  <c r="B14" i="106" s="1"/>
  <c r="B15" i="106" s="1"/>
  <c r="B16" i="106" s="1"/>
  <c r="B17" i="106" s="1"/>
  <c r="B18" i="106" s="1"/>
  <c r="B19" i="106" s="1"/>
  <c r="B20" i="106" s="1"/>
  <c r="B21" i="106" s="1"/>
  <c r="B22" i="106" s="1"/>
  <c r="B23" i="106" s="1"/>
  <c r="B24" i="106" s="1"/>
  <c r="B25" i="106" s="1"/>
  <c r="B26" i="106" s="1"/>
  <c r="B27" i="106" s="1"/>
  <c r="B28" i="106" s="1"/>
  <c r="B29" i="106" s="1"/>
  <c r="B30" i="106" s="1"/>
  <c r="B31" i="106" s="1"/>
  <c r="N21" i="102" l="1"/>
  <c r="M21" i="102"/>
  <c r="I21" i="102"/>
  <c r="N20" i="102"/>
  <c r="M20" i="102"/>
  <c r="I20" i="102"/>
  <c r="N19" i="102"/>
  <c r="M19" i="102"/>
  <c r="I19" i="102"/>
  <c r="N18" i="102"/>
  <c r="M18" i="102"/>
  <c r="I18" i="102"/>
  <c r="N17" i="102"/>
  <c r="M17" i="102"/>
  <c r="I17" i="102"/>
  <c r="N16" i="102"/>
  <c r="M16" i="102"/>
  <c r="I16" i="102"/>
  <c r="N15" i="102"/>
  <c r="M15" i="102"/>
  <c r="I15" i="102"/>
  <c r="N14" i="102"/>
  <c r="M14" i="102"/>
  <c r="I14" i="102"/>
  <c r="N12" i="102"/>
  <c r="M12" i="102"/>
  <c r="I12" i="102"/>
  <c r="B12" i="102"/>
  <c r="B13" i="102" s="1"/>
  <c r="B14" i="102" s="1"/>
  <c r="B15" i="102" s="1"/>
  <c r="B16" i="102" s="1"/>
  <c r="B17" i="102" s="1"/>
  <c r="B18" i="102" s="1"/>
  <c r="B19" i="102" s="1"/>
  <c r="B20" i="102" s="1"/>
  <c r="B21" i="102" s="1"/>
  <c r="N11" i="102"/>
  <c r="M11" i="102"/>
  <c r="I11" i="102"/>
  <c r="N10" i="102"/>
  <c r="M10" i="102"/>
  <c r="I10" i="102"/>
  <c r="N9" i="102"/>
  <c r="M9" i="102"/>
  <c r="I9" i="102"/>
  <c r="O10" i="102" l="1"/>
  <c r="O11" i="102"/>
  <c r="O12" i="102"/>
  <c r="O14" i="102"/>
  <c r="O15" i="102"/>
  <c r="O16" i="102"/>
  <c r="O17" i="102"/>
  <c r="O18" i="102"/>
  <c r="O19" i="102"/>
  <c r="O20" i="102"/>
  <c r="O21" i="102"/>
  <c r="O9" i="102"/>
  <c r="N13" i="102"/>
  <c r="I13" i="102"/>
  <c r="M13" i="102"/>
  <c r="O13" i="102" l="1"/>
  <c r="H12" i="101" l="1"/>
  <c r="E12" i="93" s="1"/>
  <c r="G12" i="101"/>
  <c r="D26" i="67" l="1"/>
  <c r="D34" i="67" s="1"/>
  <c r="D12" i="105" l="1"/>
  <c r="D15" i="109" l="1"/>
  <c r="D54" i="103"/>
  <c r="D15" i="103"/>
  <c r="D17" i="103" s="1"/>
  <c r="D14" i="105"/>
  <c r="D12" i="103"/>
  <c r="D16" i="103" l="1"/>
  <c r="D18" i="103" s="1"/>
  <c r="D20" i="103" s="1"/>
  <c r="D13" i="104" l="1"/>
  <c r="D36" i="67"/>
  <c r="F11" i="66" s="1"/>
  <c r="D38" i="68"/>
  <c r="D40" i="68" s="1"/>
  <c r="F12" i="66" s="1"/>
  <c r="G12" i="66" s="1"/>
  <c r="D18" i="69"/>
  <c r="F13" i="66" s="1"/>
  <c r="G13" i="66" s="1"/>
  <c r="D13" i="93"/>
  <c r="F12" i="101"/>
  <c r="F61" i="103"/>
  <c r="E61" i="103"/>
  <c r="D61" i="103"/>
  <c r="F56" i="103"/>
  <c r="E56" i="103"/>
  <c r="D56" i="103"/>
  <c r="F55" i="103"/>
  <c r="E55" i="103"/>
  <c r="D55" i="103"/>
  <c r="F54" i="103"/>
  <c r="E54" i="103"/>
  <c r="F46" i="103"/>
  <c r="F47" i="103" s="1"/>
  <c r="F49" i="103" s="1"/>
  <c r="F51" i="103" s="1"/>
  <c r="E46" i="103"/>
  <c r="E47" i="103" s="1"/>
  <c r="E49" i="103" s="1"/>
  <c r="E51" i="103" s="1"/>
  <c r="D46" i="103"/>
  <c r="F36" i="103"/>
  <c r="F37" i="103" s="1"/>
  <c r="F39" i="103" s="1"/>
  <c r="E36" i="103"/>
  <c r="E37" i="103" s="1"/>
  <c r="E39" i="103" s="1"/>
  <c r="D36" i="103"/>
  <c r="D37" i="103" s="1"/>
  <c r="D39" i="103" s="1"/>
  <c r="D41" i="103" s="1"/>
  <c r="D18" i="105"/>
  <c r="F18" i="105"/>
  <c r="E18" i="105"/>
  <c r="G11" i="66" l="1"/>
  <c r="G14" i="66" s="1"/>
  <c r="E11" i="103"/>
  <c r="F11" i="103" s="1"/>
  <c r="E10" i="105"/>
  <c r="F10" i="105" s="1"/>
  <c r="F20" i="105" s="1"/>
  <c r="E10" i="103"/>
  <c r="D47" i="103"/>
  <c r="D49" i="103" s="1"/>
  <c r="F57" i="103"/>
  <c r="F58" i="103" s="1"/>
  <c r="D9" i="109"/>
  <c r="D18" i="109" s="1"/>
  <c r="D21" i="109" s="1"/>
  <c r="E11" i="105"/>
  <c r="E12" i="105" s="1"/>
  <c r="F12" i="105" s="1"/>
  <c r="D20" i="105"/>
  <c r="D21" i="105" s="1"/>
  <c r="F11" i="93"/>
  <c r="E57" i="103"/>
  <c r="E58" i="103" s="1"/>
  <c r="D20" i="69"/>
  <c r="F11" i="58"/>
  <c r="F60" i="103"/>
  <c r="F41" i="103"/>
  <c r="E41" i="103"/>
  <c r="E60" i="103"/>
  <c r="D57" i="103"/>
  <c r="D58" i="103" s="1"/>
  <c r="F13" i="58"/>
  <c r="E20" i="105"/>
  <c r="F13" i="104" l="1"/>
  <c r="F14" i="66"/>
  <c r="E13" i="104" s="1"/>
  <c r="F59" i="103"/>
  <c r="F10" i="103"/>
  <c r="F12" i="103" s="1"/>
  <c r="E12" i="103"/>
  <c r="F12" i="93"/>
  <c r="F13" i="93" s="1"/>
  <c r="E14" i="103"/>
  <c r="H11" i="58"/>
  <c r="F14" i="104" s="1"/>
  <c r="D51" i="103"/>
  <c r="D60" i="103"/>
  <c r="D59" i="103" s="1"/>
  <c r="F19" i="103" s="1"/>
  <c r="E59" i="103"/>
  <c r="E13" i="93"/>
  <c r="E14" i="105"/>
  <c r="F11" i="105"/>
  <c r="F14" i="105" s="1"/>
  <c r="F21" i="105" s="1"/>
  <c r="F22" i="105" s="1"/>
  <c r="H15" i="58" s="1"/>
  <c r="D21" i="69"/>
  <c r="E62" i="103"/>
  <c r="F62" i="103"/>
  <c r="F15" i="58"/>
  <c r="G11" i="58" l="1"/>
  <c r="E14" i="104" s="1"/>
  <c r="E21" i="105"/>
  <c r="E22" i="105" s="1"/>
  <c r="G15" i="58" s="1"/>
  <c r="F14" i="103"/>
  <c r="D62" i="103"/>
  <c r="E22" i="102"/>
  <c r="H12" i="58"/>
  <c r="F15" i="103" l="1"/>
  <c r="G12" i="58"/>
  <c r="E15" i="103" s="1"/>
  <c r="E16" i="103" l="1"/>
  <c r="E18" i="103" s="1"/>
  <c r="E20" i="103" s="1"/>
  <c r="E17" i="103"/>
  <c r="F17" i="103"/>
  <c r="F16" i="103"/>
  <c r="F18" i="103" s="1"/>
  <c r="F20" i="103" s="1"/>
  <c r="F16" i="58"/>
  <c r="F22" i="103" l="1"/>
  <c r="H13" i="58" s="1"/>
  <c r="E22" i="103"/>
  <c r="G13" i="58" s="1"/>
  <c r="B20" i="58" l="1"/>
  <c r="B21" i="58" s="1"/>
  <c r="B11" i="105" l="1"/>
  <c r="B12" i="105" s="1"/>
  <c r="B13" i="105" s="1"/>
  <c r="B14" i="105" s="1"/>
  <c r="B16" i="105" s="1"/>
  <c r="B17" i="105" s="1"/>
  <c r="B18" i="105" s="1"/>
  <c r="B20" i="105" s="1"/>
  <c r="B11" i="104"/>
  <c r="B12" i="104" s="1"/>
  <c r="B13" i="104" s="1"/>
  <c r="B14" i="104" s="1"/>
  <c r="B15" i="104" s="1"/>
  <c r="B17" i="104" s="1"/>
  <c r="B18" i="104" s="1"/>
  <c r="B19" i="104" s="1"/>
  <c r="B20" i="104" s="1"/>
  <c r="B11" i="103"/>
  <c r="B12" i="103" s="1"/>
  <c r="B13" i="103" s="1"/>
  <c r="B14" i="103" s="1"/>
  <c r="B15" i="103" s="1"/>
  <c r="B16" i="103" s="1"/>
  <c r="B17" i="103" s="1"/>
  <c r="B18" i="103" s="1"/>
  <c r="B19" i="103" s="1"/>
  <c r="B20" i="103" s="1"/>
  <c r="B21" i="103" s="1"/>
  <c r="B22" i="103" s="1"/>
  <c r="B21" i="105" l="1"/>
  <c r="B22" i="105" s="1"/>
  <c r="B12" i="58"/>
  <c r="B13" i="58" s="1"/>
  <c r="B14" i="58" s="1"/>
  <c r="B15" i="58" s="1"/>
  <c r="B16" i="58" s="1"/>
  <c r="B17" i="58" s="1"/>
  <c r="B9" i="91" l="1"/>
  <c r="B10" i="91" s="1"/>
  <c r="B11" i="91" s="1"/>
  <c r="B12" i="91" s="1"/>
  <c r="B13" i="91" s="1"/>
  <c r="B14" i="91" s="1"/>
  <c r="B15" i="91" s="1"/>
  <c r="B16" i="91" s="1"/>
  <c r="B17" i="91" s="1"/>
  <c r="B18" i="91" s="1"/>
  <c r="B19" i="91" s="1"/>
  <c r="B20" i="91" s="1"/>
  <c r="B21" i="91" s="1"/>
  <c r="B22" i="91" s="1"/>
  <c r="B23" i="91" s="1"/>
  <c r="B24" i="91" s="1"/>
  <c r="B25" i="91" s="1"/>
  <c r="B26" i="91" s="1"/>
  <c r="B30" i="91" s="1"/>
  <c r="B31" i="91" s="1"/>
  <c r="B9" i="57" l="1"/>
  <c r="B10" i="57" s="1"/>
  <c r="B11" i="57" s="1"/>
  <c r="B12" i="57" s="1"/>
  <c r="B13" i="57" l="1"/>
  <c r="B14" i="57" s="1"/>
  <c r="B15" i="57" s="1"/>
  <c r="B12" i="66"/>
  <c r="B13" i="66" s="1"/>
  <c r="B14" i="66" s="1"/>
  <c r="B28" i="67"/>
  <c r="B29" i="67" s="1"/>
  <c r="B30" i="67" s="1"/>
  <c r="B31" i="67" s="1"/>
  <c r="B16" i="57" l="1"/>
  <c r="B17" i="57" s="1"/>
  <c r="B18" i="57" s="1"/>
  <c r="B19" i="57" s="1"/>
  <c r="B20" i="57" s="1"/>
  <c r="B21" i="57" s="1"/>
  <c r="B22" i="57" s="1"/>
  <c r="B23" i="57" l="1"/>
  <c r="B24" i="57" s="1"/>
  <c r="B25" i="57" s="1"/>
  <c r="B26" i="57" s="1"/>
  <c r="B27" i="57" s="1"/>
  <c r="B28" i="57" s="1"/>
  <c r="F14" i="58"/>
  <c r="F17" i="58" s="1"/>
  <c r="F22" i="58" s="1"/>
  <c r="D15" i="104" s="1"/>
  <c r="D18" i="104" s="1"/>
  <c r="G14" i="58"/>
  <c r="H14" i="58"/>
  <c r="G17" i="58"/>
  <c r="H17" i="58"/>
  <c r="G22" i="58"/>
  <c r="H22" i="58"/>
  <c r="E15" i="104"/>
  <c r="F15" i="104"/>
  <c r="E18" i="104"/>
  <c r="F18" i="104"/>
  <c r="E20" i="104"/>
  <c r="F20" i="104"/>
</calcChain>
</file>

<file path=xl/sharedStrings.xml><?xml version="1.0" encoding="utf-8"?>
<sst xmlns="http://schemas.openxmlformats.org/spreadsheetml/2006/main" count="601" uniqueCount="354">
  <si>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</si>
  <si>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</si>
  <si>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</si>
  <si>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</si>
  <si>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</si>
  <si>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</si>
  <si>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</si>
  <si>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</si>
  <si>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</si>
  <si>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</si>
  <si>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</si>
  <si>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</si>
  <si>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</si>
  <si>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</si>
  <si>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</si>
  <si>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</si>
  <si>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</si>
  <si>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</si>
  <si>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</si>
  <si>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</si>
  <si>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</si>
  <si>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</si>
  <si>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</si>
  <si>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</si>
  <si>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</si>
  <si>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</si>
  <si>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</si>
  <si>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</si>
  <si>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</si>
  <si>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</si>
  <si>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</si>
  <si>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</si>
  <si>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</si>
  <si>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</si>
  <si>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</si>
  <si>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</si>
  <si>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</si>
  <si>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</si>
  <si>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</si>
  <si>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</si>
  <si>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</si>
  <si>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</si>
  <si>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</si>
  <si>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</si>
  <si>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</si>
  <si>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</si>
  <si>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</si>
  <si>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</si>
  <si>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</si>
  <si>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</si>
  <si>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</si>
  <si>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</si>
  <si>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</si>
  <si>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</si>
  <si>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</si>
  <si>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</si>
  <si>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</si>
  <si>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</si>
  <si>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</si>
  <si>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</si>
  <si>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</si>
  <si>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</si>
  <si>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</si>
  <si>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</si>
  <si>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</si>
  <si>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</si>
  <si>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</si>
  <si>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</si>
  <si>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</si>
  <si>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</si>
  <si>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</si>
  <si>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</si>
  <si>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</si>
  <si>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</si>
  <si>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</si>
  <si>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</si>
  <si>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</si>
  <si>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</si>
  <si>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</si>
  <si>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</si>
  <si>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</si>
  <si>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</si>
  <si>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</si>
  <si>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</si>
  <si>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</si>
  <si>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</si>
  <si>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</si>
  <si>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</si>
  <si>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</si>
  <si>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</si>
  <si>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</si>
  <si>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</si>
  <si>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</si>
  <si>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</si>
  <si>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</si>
  <si>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</si>
  <si>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</si>
  <si>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</si>
  <si>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</si>
  <si>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</si>
  <si>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</si>
  <si>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</si>
  <si>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</si>
  <si>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</si>
  <si>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</si>
  <si>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</si>
  <si>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</si>
  <si>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</si>
  <si>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</si>
  <si>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</si>
  <si>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</si>
  <si>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</si>
  <si>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</si>
  <si>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</si>
  <si>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</si>
  <si>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</si>
  <si>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</si>
  <si>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</si>
  <si>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</si>
  <si>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</si>
  <si>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</si>
  <si>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</si>
  <si>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</si>
  <si>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</si>
  <si>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</si>
  <si>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</si>
  <si>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</si>
  <si>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</si>
  <si>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</si>
  <si>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</si>
  <si>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</si>
  <si>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</si>
  <si>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</si>
  <si>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</si>
  <si>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</si>
  <si>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</si>
  <si>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</si>
  <si>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</si>
  <si>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</si>
  <si>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</si>
  <si>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</si>
  <si>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Revenue from sale of electricity</t>
  </si>
  <si>
    <t>Non-Tariff Income</t>
  </si>
  <si>
    <t>Form 12</t>
  </si>
  <si>
    <t>Unit 1 / Station 1</t>
  </si>
  <si>
    <t>Unit 2 / Station 2</t>
  </si>
  <si>
    <t xml:space="preserve">Depreciation </t>
  </si>
  <si>
    <t>Addition of Loan during the year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</si>
  <si>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</si>
  <si>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</si>
  <si>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</si>
  <si>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</si>
  <si>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</si>
  <si>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</si>
  <si>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</si>
  <si>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</si>
  <si>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</si>
  <si>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</si>
  <si>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</si>
  <si>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</si>
  <si>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</si>
  <si>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</si>
  <si>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</si>
  <si>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</si>
  <si>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</si>
  <si>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</si>
  <si>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</si>
  <si>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</si>
  <si>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</si>
  <si>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</si>
  <si>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</si>
  <si>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</si>
  <si>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</si>
  <si>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</si>
  <si>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</si>
  <si>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</si>
  <si>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</si>
  <si>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</si>
  <si>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</si>
  <si>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</si>
  <si>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</si>
  <si>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</si>
  <si>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</si>
  <si>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</si>
  <si>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</si>
  <si>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</si>
  <si>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</si>
  <si>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</si>
  <si>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</si>
  <si>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</si>
  <si>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</si>
  <si>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</si>
  <si>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</si>
  <si>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</si>
  <si>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</si>
  <si>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</si>
  <si>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</si>
  <si>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</si>
  <si>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</si>
  <si>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>n+3</t>
  </si>
  <si>
    <t xml:space="preserve">April-March     </t>
  </si>
  <si>
    <t>Claimed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</si>
  <si>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</si>
  <si>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</si>
  <si>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</si>
  <si>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</si>
  <si>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</si>
  <si>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</si>
  <si>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</si>
  <si>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</si>
  <si>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</si>
  <si>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</si>
  <si>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</si>
  <si>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</si>
  <si>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</si>
  <si>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</si>
  <si>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</si>
  <si>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</si>
  <si>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</si>
  <si>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</si>
  <si>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</si>
  <si>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</si>
  <si>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</si>
  <si>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</si>
  <si>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</si>
  <si>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</si>
  <si>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</si>
  <si>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</si>
  <si>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</si>
  <si>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</si>
  <si>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</si>
  <si>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</si>
  <si>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</si>
  <si>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</si>
  <si>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</si>
  <si>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</si>
  <si>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</si>
  <si>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</si>
  <si>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</si>
  <si>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</si>
  <si>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</si>
  <si>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</si>
  <si>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</si>
  <si>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</si>
  <si>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</si>
  <si>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</si>
  <si>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</si>
  <si>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</si>
  <si>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</si>
  <si>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</si>
  <si>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</si>
  <si>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</si>
  <si>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</si>
  <si>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</si>
  <si>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</si>
  <si>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</si>
  <si>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</si>
  <si>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</si>
  <si>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</si>
  <si>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</si>
  <si>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</si>
  <si>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</si>
  <si>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</si>
  <si>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</si>
  <si>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</si>
  <si>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</si>
  <si>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</si>
  <si>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</si>
  <si>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</si>
  <si>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</si>
  <si>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</si>
  <si>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</si>
  <si>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</si>
  <si>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</si>
  <si>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</si>
  <si>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</si>
  <si>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</si>
  <si>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</si>
  <si>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</si>
  <si>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</si>
  <si>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</si>
  <si>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</si>
  <si>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</si>
  <si>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</si>
  <si>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</si>
  <si>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</si>
  <si>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</si>
  <si>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</si>
  <si>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</si>
  <si>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</si>
  <si>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</si>
  <si>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</si>
  <si>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</si>
  <si>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</si>
  <si>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</si>
  <si>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</si>
  <si>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</si>
  <si>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Unfunded past liabilities of pension &amp; gratuity</t>
  </si>
  <si>
    <t>AFC +Energy Charges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</si>
  <si>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</si>
  <si>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</si>
  <si>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</si>
  <si>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</si>
  <si>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</si>
  <si>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</si>
  <si>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2023-24</t>
  </si>
  <si>
    <t>FY 2024-25</t>
  </si>
  <si>
    <t>FY 2025-26</t>
  </si>
  <si>
    <t>Form 2.2: Administrative &amp; General Expenses</t>
  </si>
  <si>
    <t>Form 1: Summary Sheet</t>
  </si>
  <si>
    <t>COMPUTERS</t>
  </si>
  <si>
    <t>OFFICE EQUIPMENT</t>
  </si>
  <si>
    <t>Land &amp; Land Rights</t>
  </si>
  <si>
    <t>Lines &amp; Cable Network</t>
  </si>
  <si>
    <t>Capital Spares</t>
  </si>
  <si>
    <t>Other Civil Works</t>
  </si>
  <si>
    <t>Furniture&amp; Fixtures</t>
  </si>
  <si>
    <t>Computers</t>
  </si>
  <si>
    <t>Intangible Assets</t>
  </si>
  <si>
    <t>Land Deposits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</si>
  <si>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</si>
  <si>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</si>
  <si>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</si>
  <si>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</si>
  <si>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INCOME ON EMPLOYEES - Ind AS             </t>
  </si>
  <si>
    <t xml:space="preserve">INTEREST INCOME ON SD    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</si>
  <si>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</si>
  <si>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</si>
  <si>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</si>
  <si>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</si>
  <si>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</si>
  <si>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</si>
  <si>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</si>
  <si>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RECEIPTS  FROM CONTRACTORS                  </t>
  </si>
  <si>
    <t xml:space="preserve">OTHER RECEIPTS FROM STAFF          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</si>
  <si>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</si>
  <si>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</si>
  <si>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</si>
  <si>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</si>
  <si>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 xml:space="preserve">SALE OF TENDER SPECIFICATIONS                     </t>
  </si>
  <si>
    <t xml:space="preserve">VENDOR REGISTRATION FEE                           </t>
  </si>
  <si>
    <t xml:space="preserve">WATER CHARGES                                     </t>
  </si>
  <si>
    <t>TSSPDCL (70.55%)</t>
  </si>
  <si>
    <t>TSNPDCL (29.45%)</t>
  </si>
  <si>
    <t>-</t>
  </si>
  <si>
    <t xml:space="preserve">      &lt;MINI HYDEL&gt;</t>
  </si>
  <si>
    <t>MINI HYDEL</t>
  </si>
  <si>
    <t>Year end adjustment of fixed charges as per availability</t>
  </si>
  <si>
    <t>Difference bill issued after MTR order</t>
  </si>
  <si>
    <t>Mini Hydel</t>
  </si>
  <si>
    <t>Attached as separate Annexure</t>
  </si>
  <si>
    <t>Rs. in Cr.</t>
  </si>
  <si>
    <t>Rs.in Cr.</t>
  </si>
  <si>
    <t>1). In case actual availability is less or more than normative value, the modification in the formula need to be done accordingly.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</si>
</sst>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8" formatCode="&quot;$&quot;#,##0.00_);[Red]\(&quot;$&quot;#,##0.00\)"/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"/>
    <numFmt numFmtId="169" formatCode="0.0000000"/>
    <numFmt numFmtId="170" formatCode="0.000"/>
    <numFmt numFmtId="171" formatCode="dd\.mm\.yyyy"/>
    <numFmt numFmtId="172" formatCode="_ * #,##0.000_ ;_ * \-#,##0.000_ ;_ * &quot;-&quot;???_ ;_ @_ "/>
    <numFmt numFmtId="173" formatCode="_(* #,##0.000_);_(* \(#,##0.000\);_(* &quot;-&quot;??_);_(@_)"/>
    <numFmt numFmtId="174" formatCode="_ &quot;రూ&quot;\ * #,##0.00_ ;_ &quot;రూ&quot;\ * \-#,##0.00_ ;_ &quot;రూ&quot;\ * &quot;-&quot;??_ ;_ @_ 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3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61">
    <xf numFmtId="0" fontId="0" fillId="0" borderId="0"/>
    <xf numFmtId="0" fontId="10" fillId="0" borderId="0" applyNumberFormat="0" applyFill="0" applyBorder="0" applyAlignment="0" applyProtection="0"/>
    <xf numFmtId="0" fontId="11" fillId="0" borderId="1"/>
    <xf numFmtId="0" fontId="11" fillId="0" borderId="1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10" fontId="12" fillId="3" borderId="4" applyNumberFormat="0" applyBorder="0" applyAlignment="0" applyProtection="0"/>
    <xf numFmtId="37" fontId="14" fillId="0" borderId="0"/>
    <xf numFmtId="166" fontId="15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>
      <alignment vertical="center"/>
    </xf>
    <xf numFmtId="167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9" fillId="0" borderId="0"/>
    <xf numFmtId="0" fontId="17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9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/>
    <xf numFmtId="0" fontId="9" fillId="0" borderId="0"/>
    <xf numFmtId="0" fontId="7" fillId="0" borderId="0"/>
    <xf numFmtId="0" fontId="9" fillId="0" borderId="0" applyBorder="0" applyProtection="0"/>
    <xf numFmtId="167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164" fontId="2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8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8" fillId="0" borderId="0"/>
    <xf numFmtId="0" fontId="2" fillId="0" borderId="0" applyFon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17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8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27">
    <xf numFmtId="0" fontId="0" fillId="0" borderId="0" xfId="0"/>
    <xf numFmtId="0" fontId="8" fillId="0" borderId="0" xfId="10" applyFont="1" applyAlignment="1">
      <alignment horizontal="center" vertical="center"/>
    </xf>
    <xf numFmtId="0" fontId="16" fillId="0" borderId="4" xfId="14" applyFont="1" applyBorder="1" applyAlignment="1">
      <alignment horizontal="center" vertical="center"/>
    </xf>
    <xf numFmtId="0" fontId="16" fillId="0" borderId="4" xfId="14" applyFont="1" applyBorder="1">
      <alignment vertical="center"/>
    </xf>
    <xf numFmtId="0" fontId="16" fillId="0" borderId="0" xfId="10" applyFont="1"/>
    <xf numFmtId="0" fontId="16" fillId="0" borderId="0" xfId="10" applyFont="1" applyAlignment="1">
      <alignment vertical="center"/>
    </xf>
    <xf numFmtId="0" fontId="8" fillId="0" borderId="0" xfId="14" applyFont="1">
      <alignment vertical="center"/>
    </xf>
    <xf numFmtId="0" fontId="13" fillId="0" borderId="0" xfId="14" applyFont="1" applyAlignment="1">
      <alignment horizontal="right" vertical="center"/>
    </xf>
    <xf numFmtId="0" fontId="8" fillId="0" borderId="4" xfId="14" applyFont="1" applyBorder="1" applyAlignment="1">
      <alignment horizontal="center" vertical="center"/>
    </xf>
    <xf numFmtId="0" fontId="8" fillId="0" borderId="4" xfId="14" applyFont="1" applyBorder="1">
      <alignment vertical="center"/>
    </xf>
    <xf numFmtId="0" fontId="8" fillId="0" borderId="4" xfId="14" applyFont="1" applyBorder="1" applyAlignment="1">
      <alignment horizontal="left" vertical="center"/>
    </xf>
    <xf numFmtId="0" fontId="8" fillId="0" borderId="4" xfId="14" applyFont="1" applyBorder="1" applyAlignment="1">
      <alignment vertical="top" wrapText="1"/>
    </xf>
    <xf numFmtId="0" fontId="8" fillId="0" borderId="0" xfId="10" applyFont="1"/>
    <xf numFmtId="0" fontId="13" fillId="0" borderId="8" xfId="14" applyFont="1" applyBorder="1" applyAlignment="1">
      <alignment horizontal="center" vertical="center"/>
    </xf>
    <xf numFmtId="0" fontId="13" fillId="0" borderId="4" xfId="14" applyFont="1" applyBorder="1" applyAlignment="1">
      <alignment horizontal="center" vertical="center"/>
    </xf>
    <xf numFmtId="0" fontId="16" fillId="0" borderId="0" xfId="14" applyFont="1">
      <alignment vertical="center"/>
    </xf>
    <xf numFmtId="0" fontId="21" fillId="0" borderId="4" xfId="14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4" applyFont="1" applyBorder="1" applyAlignment="1">
      <alignment horizontal="left" vertical="center"/>
    </xf>
    <xf numFmtId="0" fontId="16" fillId="5" borderId="4" xfId="14" applyFont="1" applyFill="1" applyBorder="1" applyAlignment="1">
      <alignment horizontal="left" vertical="center"/>
    </xf>
    <xf numFmtId="0" fontId="16" fillId="0" borderId="4" xfId="14" applyFont="1" applyBorder="1" applyAlignment="1">
      <alignment vertical="top" wrapText="1"/>
    </xf>
    <xf numFmtId="0" fontId="21" fillId="0" borderId="4" xfId="14" applyFont="1" applyBorder="1">
      <alignment vertical="center"/>
    </xf>
    <xf numFmtId="0" fontId="16" fillId="0" borderId="4" xfId="10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/>
    </xf>
    <xf numFmtId="0" fontId="21" fillId="0" borderId="0" xfId="10" applyFont="1" applyAlignment="1">
      <alignment horizontal="left" vertical="center"/>
    </xf>
    <xf numFmtId="0" fontId="21" fillId="0" borderId="0" xfId="10" applyFont="1" applyAlignment="1">
      <alignment horizontal="right" vertical="center"/>
    </xf>
    <xf numFmtId="0" fontId="16" fillId="0" borderId="4" xfId="1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4" xfId="10" applyFont="1" applyBorder="1" applyAlignment="1">
      <alignment horizontal="left" vertical="center"/>
    </xf>
    <xf numFmtId="0" fontId="21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left" vertical="center"/>
    </xf>
    <xf numFmtId="0" fontId="21" fillId="0" borderId="0" xfId="10" applyFont="1" applyAlignment="1">
      <alignment vertical="center"/>
    </xf>
    <xf numFmtId="0" fontId="21" fillId="0" borderId="0" xfId="14" applyFont="1" applyAlignment="1">
      <alignment horizontal="center" vertical="center"/>
    </xf>
    <xf numFmtId="0" fontId="16" fillId="0" borderId="0" xfId="10" applyFont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21" fillId="0" borderId="0" xfId="14" applyFont="1">
      <alignment vertical="center"/>
    </xf>
    <xf numFmtId="0" fontId="16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vertical="center"/>
    </xf>
    <xf numFmtId="0" fontId="16" fillId="0" borderId="4" xfId="10" applyFont="1" applyBorder="1" applyAlignment="1">
      <alignment horizontal="right" vertical="center"/>
    </xf>
    <xf numFmtId="0" fontId="21" fillId="0" borderId="0" xfId="10" applyFont="1" applyAlignment="1">
      <alignment horizontal="centerContinuous"/>
    </xf>
    <xf numFmtId="0" fontId="16" fillId="0" borderId="0" xfId="10" applyFont="1" applyAlignment="1">
      <alignment horizontal="centerContinuous"/>
    </xf>
    <xf numFmtId="0" fontId="16" fillId="0" borderId="4" xfId="10" applyFont="1" applyBorder="1"/>
    <xf numFmtId="0" fontId="21" fillId="0" borderId="4" xfId="10" applyFont="1" applyBorder="1"/>
    <xf numFmtId="0" fontId="21" fillId="0" borderId="0" xfId="10" applyFont="1" applyAlignment="1">
      <alignment horizontal="justify" vertical="top" wrapText="1"/>
    </xf>
    <xf numFmtId="0" fontId="16" fillId="0" borderId="0" xfId="10" applyFont="1" applyAlignment="1">
      <alignment horizontal="left"/>
    </xf>
    <xf numFmtId="0" fontId="16" fillId="0" borderId="4" xfId="10" applyFont="1" applyBorder="1" applyAlignment="1">
      <alignment wrapText="1"/>
    </xf>
    <xf numFmtId="0" fontId="16" fillId="0" borderId="0" xfId="10" applyFont="1" applyAlignment="1">
      <alignment horizontal="left" vertical="center"/>
    </xf>
    <xf numFmtId="0" fontId="16" fillId="0" borderId="0" xfId="10" applyFont="1" applyAlignment="1">
      <alignment horizontal="right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vertical="center"/>
    </xf>
    <xf numFmtId="0" fontId="22" fillId="0" borderId="0" xfId="10" applyFont="1" applyAlignment="1">
      <alignment horizontal="center" vertical="center"/>
    </xf>
    <xf numFmtId="0" fontId="16" fillId="0" borderId="4" xfId="10" quotePrefix="1" applyFont="1" applyBorder="1" applyAlignment="1">
      <alignment horizontal="left" vertical="top" wrapText="1"/>
    </xf>
    <xf numFmtId="0" fontId="16" fillId="0" borderId="4" xfId="10" applyFont="1" applyBorder="1" applyAlignment="1">
      <alignment horizontal="left"/>
    </xf>
    <xf numFmtId="0" fontId="21" fillId="0" borderId="4" xfId="10" applyFont="1" applyBorder="1" applyAlignment="1">
      <alignment horizontal="left"/>
    </xf>
    <xf numFmtId="0" fontId="16" fillId="0" borderId="0" xfId="14" applyFont="1" applyAlignment="1">
      <alignment horizontal="center" vertical="center"/>
    </xf>
    <xf numFmtId="0" fontId="16" fillId="0" borderId="4" xfId="10" applyFont="1" applyBorder="1" applyAlignment="1">
      <alignment horizontal="left" vertical="top" wrapText="1"/>
    </xf>
    <xf numFmtId="0" fontId="21" fillId="0" borderId="0" xfId="10" applyFont="1" applyAlignment="1">
      <alignment horizontal="left"/>
    </xf>
    <xf numFmtId="0" fontId="21" fillId="0" borderId="0" xfId="10" applyFont="1" applyAlignment="1">
      <alignment horizontal="right"/>
    </xf>
    <xf numFmtId="0" fontId="21" fillId="0" borderId="0" xfId="10" applyFont="1" applyAlignment="1">
      <alignment horizontal="left" vertical="center" wrapText="1"/>
    </xf>
    <xf numFmtId="0" fontId="16" fillId="0" borderId="7" xfId="10" applyFont="1" applyBorder="1" applyAlignment="1">
      <alignment horizontal="center" vertical="center"/>
    </xf>
    <xf numFmtId="0" fontId="22" fillId="0" borderId="0" xfId="10" applyFont="1" applyAlignment="1">
      <alignment horizontal="right" vertical="center"/>
    </xf>
    <xf numFmtId="0" fontId="16" fillId="0" borderId="0" xfId="10" applyFont="1" applyAlignment="1">
      <alignment horizontal="center"/>
    </xf>
    <xf numFmtId="0" fontId="21" fillId="4" borderId="13" xfId="68" applyFont="1" applyFill="1" applyBorder="1" applyAlignment="1">
      <alignment horizontal="center" vertical="center" wrapText="1"/>
    </xf>
    <xf numFmtId="0" fontId="21" fillId="4" borderId="14" xfId="68" applyFont="1" applyFill="1" applyBorder="1" applyAlignment="1">
      <alignment horizontal="center" vertical="center" wrapText="1"/>
    </xf>
    <xf numFmtId="0" fontId="13" fillId="0" borderId="0" xfId="14" applyFont="1" applyAlignment="1">
      <alignment horizontal="center" vertical="center"/>
    </xf>
    <xf numFmtId="0" fontId="21" fillId="0" borderId="6" xfId="14" applyFont="1" applyBorder="1" applyAlignment="1">
      <alignment horizontal="center" vertical="center" wrapText="1"/>
    </xf>
    <xf numFmtId="0" fontId="21" fillId="0" borderId="9" xfId="14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 wrapText="1"/>
    </xf>
    <xf numFmtId="0" fontId="16" fillId="0" borderId="9" xfId="14" applyFont="1" applyBorder="1">
      <alignment vertical="center"/>
    </xf>
    <xf numFmtId="0" fontId="21" fillId="0" borderId="4" xfId="10" applyFont="1" applyBorder="1" applyAlignment="1">
      <alignment vertical="center" wrapText="1"/>
    </xf>
    <xf numFmtId="0" fontId="21" fillId="4" borderId="4" xfId="14" applyFont="1" applyFill="1" applyBorder="1" applyAlignment="1">
      <alignment horizontal="center" vertical="center" wrapText="1"/>
    </xf>
    <xf numFmtId="0" fontId="21" fillId="0" borderId="0" xfId="10" applyFont="1" applyAlignment="1">
      <alignment horizontal="centerContinuous" vertical="center"/>
    </xf>
    <xf numFmtId="0" fontId="16" fillId="0" borderId="0" xfId="10" applyFont="1" applyAlignment="1">
      <alignment horizontal="centerContinuous" vertical="center"/>
    </xf>
    <xf numFmtId="0" fontId="21" fillId="4" borderId="4" xfId="10" quotePrefix="1" applyFont="1" applyFill="1" applyBorder="1" applyAlignment="1">
      <alignment horizontal="center" vertical="center" wrapText="1"/>
    </xf>
    <xf numFmtId="0" fontId="21" fillId="4" borderId="4" xfId="10" applyFont="1" applyFill="1" applyBorder="1" applyAlignment="1">
      <alignment horizontal="left" vertical="center" wrapText="1"/>
    </xf>
    <xf numFmtId="0" fontId="21" fillId="4" borderId="4" xfId="10" applyFont="1" applyFill="1" applyBorder="1" applyAlignment="1">
      <alignment horizontal="center" vertical="center"/>
    </xf>
    <xf numFmtId="0" fontId="16" fillId="4" borderId="4" xfId="14" applyFont="1" applyFill="1" applyBorder="1">
      <alignment vertical="center"/>
    </xf>
    <xf numFmtId="0" fontId="16" fillId="4" borderId="4" xfId="10" applyFont="1" applyFill="1" applyBorder="1" applyAlignment="1">
      <alignment horizontal="center" vertical="center"/>
    </xf>
    <xf numFmtId="0" fontId="16" fillId="4" borderId="4" xfId="10" applyFont="1" applyFill="1" applyBorder="1" applyAlignment="1">
      <alignment vertical="center" wrapText="1"/>
    </xf>
    <xf numFmtId="0" fontId="21" fillId="4" borderId="4" xfId="10" applyFont="1" applyFill="1" applyBorder="1" applyAlignment="1">
      <alignment vertical="center" wrapText="1"/>
    </xf>
    <xf numFmtId="0" fontId="16" fillId="4" borderId="4" xfId="10" applyFont="1" applyFill="1" applyBorder="1" applyAlignment="1">
      <alignment vertical="center"/>
    </xf>
    <xf numFmtId="0" fontId="21" fillId="4" borderId="0" xfId="10" applyFont="1" applyFill="1" applyAlignment="1">
      <alignment vertical="center"/>
    </xf>
    <xf numFmtId="0" fontId="16" fillId="4" borderId="0" xfId="10" applyFont="1" applyFill="1" applyAlignment="1">
      <alignment vertical="center"/>
    </xf>
    <xf numFmtId="166" fontId="16" fillId="0" borderId="0" xfId="10" applyNumberFormat="1" applyFont="1" applyAlignment="1">
      <alignment vertical="center"/>
    </xf>
    <xf numFmtId="0" fontId="23" fillId="0" borderId="0" xfId="10" applyFont="1" applyAlignment="1">
      <alignment horizontal="left" vertical="center"/>
    </xf>
    <xf numFmtId="0" fontId="16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16" fillId="0" borderId="4" xfId="0" applyFont="1" applyBorder="1" applyAlignment="1">
      <alignment vertical="center" wrapText="1"/>
    </xf>
    <xf numFmtId="0" fontId="25" fillId="0" borderId="0" xfId="10" applyFont="1" applyAlignment="1">
      <alignment vertical="center"/>
    </xf>
    <xf numFmtId="16" fontId="21" fillId="0" borderId="4" xfId="10" applyNumberFormat="1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2" fontId="16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vertical="center"/>
    </xf>
    <xf numFmtId="0" fontId="16" fillId="0" borderId="4" xfId="0" applyFont="1" applyBorder="1" applyAlignment="1">
      <alignment horizontal="center" vertical="center" wrapText="1"/>
    </xf>
    <xf numFmtId="168" fontId="16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horizontal="right" vertical="center"/>
    </xf>
    <xf numFmtId="0" fontId="21" fillId="0" borderId="9" xfId="0" applyFont="1" applyBorder="1" applyAlignment="1">
      <alignment vertical="center" wrapText="1"/>
    </xf>
    <xf numFmtId="2" fontId="21" fillId="0" borderId="4" xfId="0" applyNumberFormat="1" applyFont="1" applyBorder="1" applyAlignment="1">
      <alignment vertical="center"/>
    </xf>
    <xf numFmtId="0" fontId="21" fillId="0" borderId="4" xfId="0" applyFont="1" applyBorder="1" applyAlignment="1">
      <alignment vertical="center" wrapText="1"/>
    </xf>
    <xf numFmtId="2" fontId="21" fillId="0" borderId="4" xfId="0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center" vertical="center"/>
    </xf>
    <xf numFmtId="2" fontId="21" fillId="6" borderId="4" xfId="0" applyNumberFormat="1" applyFont="1" applyFill="1" applyBorder="1" applyAlignment="1">
      <alignment vertical="center"/>
    </xf>
    <xf numFmtId="2" fontId="21" fillId="6" borderId="4" xfId="0" applyNumberFormat="1" applyFont="1" applyFill="1" applyBorder="1" applyAlignment="1">
      <alignment horizontal="right" vertical="center"/>
    </xf>
    <xf numFmtId="2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 applyAlignment="1">
      <alignment vertical="center"/>
    </xf>
    <xf numFmtId="0" fontId="21" fillId="0" borderId="9" xfId="14" applyFont="1" applyBorder="1">
      <alignment vertical="center"/>
    </xf>
    <xf numFmtId="2" fontId="21" fillId="6" borderId="9" xfId="14" applyNumberFormat="1" applyFont="1" applyFill="1" applyBorder="1">
      <alignment vertical="center"/>
    </xf>
    <xf numFmtId="10" fontId="16" fillId="0" borderId="9" xfId="39" applyNumberFormat="1" applyFont="1" applyBorder="1" applyAlignment="1">
      <alignment vertical="center"/>
    </xf>
    <xf numFmtId="10" fontId="16" fillId="0" borderId="9" xfId="14" applyNumberFormat="1" applyFont="1" applyBorder="1">
      <alignment vertical="center"/>
    </xf>
    <xf numFmtId="10" fontId="21" fillId="6" borderId="9" xfId="14" applyNumberFormat="1" applyFont="1" applyFill="1" applyBorder="1">
      <alignment vertical="center"/>
    </xf>
    <xf numFmtId="2" fontId="16" fillId="0" borderId="9" xfId="14" applyNumberFormat="1" applyFont="1" applyBorder="1">
      <alignment vertical="center"/>
    </xf>
    <xf numFmtId="10" fontId="16" fillId="0" borderId="4" xfId="10" applyNumberFormat="1" applyFont="1" applyBorder="1" applyAlignment="1">
      <alignment vertical="center"/>
    </xf>
    <xf numFmtId="2" fontId="16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center" vertical="center"/>
    </xf>
    <xf numFmtId="2" fontId="21" fillId="6" borderId="4" xfId="14" applyNumberFormat="1" applyFont="1" applyFill="1" applyBorder="1" applyAlignment="1">
      <alignment horizontal="center" vertical="center"/>
    </xf>
    <xf numFmtId="2" fontId="16" fillId="0" borderId="4" xfId="14" applyNumberFormat="1" applyFont="1" applyBorder="1">
      <alignment vertical="center"/>
    </xf>
    <xf numFmtId="10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/>
    <xf numFmtId="2" fontId="16" fillId="0" borderId="4" xfId="10" applyNumberFormat="1" applyFont="1" applyBorder="1" applyAlignment="1">
      <alignment horizontal="right" vertical="center"/>
    </xf>
    <xf numFmtId="2" fontId="21" fillId="0" borderId="4" xfId="14" applyNumberFormat="1" applyFont="1" applyBorder="1" applyAlignment="1">
      <alignment horizontal="center" vertical="center"/>
    </xf>
    <xf numFmtId="2" fontId="21" fillId="5" borderId="4" xfId="14" applyNumberFormat="1" applyFont="1" applyFill="1" applyBorder="1" applyAlignment="1">
      <alignment horizontal="center" vertical="center"/>
    </xf>
    <xf numFmtId="0" fontId="16" fillId="0" borderId="4" xfId="14" applyFont="1" applyBorder="1" applyAlignment="1">
      <alignment horizontal="right" vertical="center"/>
    </xf>
    <xf numFmtId="2" fontId="21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right" vertical="center" wrapText="1"/>
    </xf>
    <xf numFmtId="0" fontId="16" fillId="0" borderId="9" xfId="14" applyFont="1" applyBorder="1" applyAlignment="1">
      <alignment horizontal="right" vertical="center"/>
    </xf>
    <xf numFmtId="2" fontId="21" fillId="6" borderId="9" xfId="14" applyNumberFormat="1" applyFont="1" applyFill="1" applyBorder="1" applyAlignment="1">
      <alignment horizontal="right" vertical="center"/>
    </xf>
    <xf numFmtId="2" fontId="16" fillId="6" borderId="9" xfId="14" applyNumberFormat="1" applyFont="1" applyFill="1" applyBorder="1">
      <alignment vertical="center"/>
    </xf>
    <xf numFmtId="10" fontId="21" fillId="6" borderId="4" xfId="10" applyNumberFormat="1" applyFont="1" applyFill="1" applyBorder="1" applyAlignment="1">
      <alignment vertical="center"/>
    </xf>
    <xf numFmtId="2" fontId="16" fillId="0" borderId="4" xfId="10" applyNumberFormat="1" applyFont="1" applyBorder="1"/>
    <xf numFmtId="2" fontId="16" fillId="0" borderId="4" xfId="10" applyNumberFormat="1" applyFont="1" applyBorder="1" applyAlignment="1">
      <alignment vertical="top" wrapText="1"/>
    </xf>
    <xf numFmtId="2" fontId="21" fillId="0" borderId="4" xfId="10" applyNumberFormat="1" applyFont="1" applyBorder="1" applyAlignment="1">
      <alignment vertical="top" wrapText="1"/>
    </xf>
    <xf numFmtId="170" fontId="21" fillId="6" borderId="4" xfId="14" applyNumberFormat="1" applyFont="1" applyFill="1" applyBorder="1" applyAlignment="1">
      <alignment horizontal="center" vertical="center"/>
    </xf>
    <xf numFmtId="10" fontId="16" fillId="0" borderId="0" xfId="14" applyNumberFormat="1" applyFont="1">
      <alignment vertical="center"/>
    </xf>
    <xf numFmtId="2" fontId="16" fillId="0" borderId="9" xfId="14" applyNumberFormat="1" applyFont="1" applyBorder="1" applyAlignment="1">
      <alignment horizontal="right" vertical="center"/>
    </xf>
    <xf numFmtId="2" fontId="16" fillId="6" borderId="4" xfId="10" applyNumberFormat="1" applyFont="1" applyFill="1" applyBorder="1" applyAlignment="1">
      <alignment horizontal="right" vertical="center"/>
    </xf>
    <xf numFmtId="2" fontId="16" fillId="6" borderId="4" xfId="10" applyNumberFormat="1" applyFont="1" applyFill="1" applyBorder="1" applyAlignment="1">
      <alignment horizontal="right" vertical="center" wrapText="1"/>
    </xf>
    <xf numFmtId="2" fontId="21" fillId="6" borderId="4" xfId="10" applyNumberFormat="1" applyFont="1" applyFill="1" applyBorder="1" applyAlignment="1">
      <alignment horizontal="right" vertical="center"/>
    </xf>
    <xf numFmtId="1" fontId="16" fillId="0" borderId="0" xfId="14" applyNumberFormat="1" applyFont="1">
      <alignment vertical="center"/>
    </xf>
    <xf numFmtId="4" fontId="16" fillId="0" borderId="0" xfId="10" applyNumberFormat="1" applyFont="1" applyAlignment="1">
      <alignment vertical="center"/>
    </xf>
    <xf numFmtId="0" fontId="24" fillId="0" borderId="4" xfId="0" applyFont="1" applyBorder="1"/>
    <xf numFmtId="0" fontId="16" fillId="0" borderId="4" xfId="0" applyFont="1" applyBorder="1" applyAlignment="1">
      <alignment wrapText="1"/>
    </xf>
    <xf numFmtId="0" fontId="16" fillId="0" borderId="4" xfId="0" applyFont="1" applyBorder="1"/>
    <xf numFmtId="164" fontId="16" fillId="0" borderId="7" xfId="71" applyFont="1" applyBorder="1"/>
    <xf numFmtId="164" fontId="16" fillId="0" borderId="4" xfId="71" applyFont="1" applyBorder="1"/>
    <xf numFmtId="164" fontId="24" fillId="0" borderId="4" xfId="71" applyFont="1" applyBorder="1"/>
    <xf numFmtId="10" fontId="24" fillId="0" borderId="4" xfId="0" applyNumberFormat="1" applyFont="1" applyBorder="1"/>
    <xf numFmtId="4" fontId="24" fillId="0" borderId="4" xfId="0" applyNumberFormat="1" applyFont="1" applyBorder="1"/>
    <xf numFmtId="0" fontId="24" fillId="0" borderId="4" xfId="0" applyFont="1" applyBorder="1" applyAlignment="1">
      <alignment wrapText="1"/>
    </xf>
    <xf numFmtId="10" fontId="24" fillId="0" borderId="0" xfId="0" applyNumberFormat="1" applyFont="1"/>
    <xf numFmtId="9" fontId="24" fillId="0" borderId="4" xfId="0" applyNumberFormat="1" applyFont="1" applyBorder="1"/>
    <xf numFmtId="10" fontId="16" fillId="0" borderId="4" xfId="0" applyNumberFormat="1" applyFont="1" applyBorder="1"/>
    <xf numFmtId="169" fontId="16" fillId="0" borderId="0" xfId="10" applyNumberFormat="1" applyFont="1" applyAlignment="1">
      <alignment vertical="center"/>
    </xf>
    <xf numFmtId="0" fontId="0" fillId="0" borderId="4" xfId="0" applyBorder="1"/>
    <xf numFmtId="164" fontId="16" fillId="0" borderId="4" xfId="71" applyFont="1" applyBorder="1" applyAlignment="1">
      <alignment horizontal="center" vertical="center"/>
    </xf>
    <xf numFmtId="164" fontId="16" fillId="0" borderId="4" xfId="71" applyFont="1" applyBorder="1" applyAlignment="1">
      <alignment vertical="center"/>
    </xf>
    <xf numFmtId="164" fontId="0" fillId="0" borderId="4" xfId="71" applyFont="1" applyBorder="1"/>
    <xf numFmtId="2" fontId="21" fillId="0" borderId="4" xfId="10" applyNumberFormat="1" applyFont="1" applyBorder="1" applyAlignment="1">
      <alignment horizontal="right" vertical="center"/>
    </xf>
    <xf numFmtId="2" fontId="30" fillId="0" borderId="4" xfId="10" applyNumberFormat="1" applyFont="1" applyBorder="1" applyAlignment="1">
      <alignment horizontal="center" vertical="center"/>
    </xf>
    <xf numFmtId="2" fontId="30" fillId="0" borderId="20" xfId="0" applyNumberFormat="1" applyFont="1" applyBorder="1" applyAlignment="1">
      <alignment horizontal="right" vertical="center"/>
    </xf>
    <xf numFmtId="170" fontId="16" fillId="0" borderId="4" xfId="0" applyNumberFormat="1" applyFont="1" applyBorder="1" applyAlignment="1">
      <alignment horizontal="center" vertical="center"/>
    </xf>
    <xf numFmtId="0" fontId="30" fillId="0" borderId="8" xfId="10" applyFont="1" applyBorder="1" applyAlignment="1">
      <alignment horizontal="center" vertical="center" wrapText="1"/>
    </xf>
    <xf numFmtId="0" fontId="30" fillId="0" borderId="4" xfId="10" applyFont="1" applyBorder="1" applyAlignment="1">
      <alignment vertical="center" wrapText="1"/>
    </xf>
    <xf numFmtId="0" fontId="30" fillId="0" borderId="4" xfId="10" applyFont="1" applyBorder="1" applyAlignment="1">
      <alignment horizontal="center" vertical="center" wrapText="1"/>
    </xf>
    <xf numFmtId="2" fontId="29" fillId="0" borderId="4" xfId="10" applyNumberFormat="1" applyFont="1" applyBorder="1" applyAlignment="1">
      <alignment vertical="center"/>
    </xf>
    <xf numFmtId="2" fontId="21" fillId="0" borderId="20" xfId="10" applyNumberFormat="1" applyFont="1" applyBorder="1" applyAlignment="1">
      <alignment vertical="center"/>
    </xf>
    <xf numFmtId="164" fontId="16" fillId="0" borderId="20" xfId="71" applyFont="1" applyBorder="1" applyAlignment="1">
      <alignment vertical="center"/>
    </xf>
    <xf numFmtId="2" fontId="21" fillId="6" borderId="20" xfId="14" applyNumberFormat="1" applyFont="1" applyFill="1" applyBorder="1" applyAlignment="1">
      <alignment horizontal="center" vertical="center"/>
    </xf>
    <xf numFmtId="0" fontId="30" fillId="0" borderId="20" xfId="10" applyFont="1" applyBorder="1" applyAlignment="1">
      <alignment vertical="center" wrapText="1"/>
    </xf>
    <xf numFmtId="2" fontId="21" fillId="0" borderId="4" xfId="14" applyNumberFormat="1" applyFont="1" applyBorder="1" applyAlignment="1">
      <alignment horizontal="right" vertical="center" wrapText="1"/>
    </xf>
    <xf numFmtId="4" fontId="16" fillId="0" borderId="0" xfId="10" applyNumberFormat="1" applyFont="1" applyAlignment="1">
      <alignment horizontal="right" vertical="center"/>
    </xf>
    <xf numFmtId="0" fontId="16" fillId="4" borderId="12" xfId="68" applyFont="1" applyFill="1" applyBorder="1" applyAlignment="1">
      <alignment horizontal="right" vertical="center"/>
    </xf>
    <xf numFmtId="0" fontId="21" fillId="4" borderId="13" xfId="68" applyFont="1" applyFill="1" applyBorder="1" applyAlignment="1">
      <alignment horizontal="right" vertical="center"/>
    </xf>
    <xf numFmtId="10" fontId="21" fillId="6" borderId="13" xfId="68" applyNumberFormat="1" applyFont="1" applyFill="1" applyBorder="1" applyAlignment="1">
      <alignment horizontal="right" vertical="center"/>
    </xf>
    <xf numFmtId="2" fontId="21" fillId="6" borderId="13" xfId="19" applyNumberFormat="1" applyFont="1" applyFill="1" applyBorder="1" applyAlignment="1">
      <alignment horizontal="right" vertical="center"/>
    </xf>
    <xf numFmtId="2" fontId="21" fillId="6" borderId="19" xfId="19" applyNumberFormat="1" applyFont="1" applyFill="1" applyBorder="1" applyAlignment="1">
      <alignment horizontal="right" vertical="center"/>
    </xf>
    <xf numFmtId="2" fontId="21" fillId="6" borderId="18" xfId="19" applyNumberFormat="1" applyFont="1" applyFill="1" applyBorder="1" applyAlignment="1">
      <alignment horizontal="right" vertical="center"/>
    </xf>
    <xf numFmtId="0" fontId="21" fillId="0" borderId="20" xfId="10" applyFont="1" applyBorder="1" applyAlignment="1">
      <alignment vertical="center"/>
    </xf>
    <xf numFmtId="0" fontId="31" fillId="0" borderId="0" xfId="14" applyFont="1" applyAlignment="1">
      <alignment horizontal="center" vertical="center"/>
    </xf>
    <xf numFmtId="0" fontId="31" fillId="0" borderId="0" xfId="10" applyFont="1" applyAlignment="1">
      <alignment horizontal="center" vertical="center"/>
    </xf>
    <xf numFmtId="0" fontId="21" fillId="4" borderId="20" xfId="14" applyFont="1" applyFill="1" applyBorder="1" applyAlignment="1">
      <alignment horizontal="center" vertical="center" wrapText="1"/>
    </xf>
    <xf numFmtId="0" fontId="13" fillId="0" borderId="0" xfId="14" applyFont="1" applyAlignment="1">
      <alignment horizontal="center" vertical="center"/>
    </xf>
    <xf numFmtId="0" fontId="8" fillId="0" borderId="0" xfId="10" applyFont="1" applyAlignment="1">
      <alignment horizontal="center" vertical="center"/>
    </xf>
    <xf numFmtId="0" fontId="13" fillId="0" borderId="0" xfId="10" applyFont="1" applyAlignment="1">
      <alignment horizontal="center" vertical="center" wrapText="1"/>
    </xf>
    <xf numFmtId="0" fontId="8" fillId="0" borderId="0" xfId="10" applyFont="1" applyAlignment="1">
      <alignment horizontal="center" vertical="center" wrapText="1"/>
    </xf>
    <xf numFmtId="0" fontId="21" fillId="0" borderId="0" xfId="10" applyFont="1" applyAlignment="1">
      <alignment horizontal="center" vertical="center"/>
    </xf>
    <xf numFmtId="0" fontId="21" fillId="0" borderId="8" xfId="14" applyFont="1" applyBorder="1" applyAlignment="1">
      <alignment horizontal="center" vertical="center"/>
    </xf>
    <xf numFmtId="0" fontId="21" fillId="0" borderId="10" xfId="14" applyFont="1" applyBorder="1" applyAlignment="1">
      <alignment horizontal="center" vertical="center"/>
    </xf>
    <xf numFmtId="0" fontId="21" fillId="0" borderId="7" xfId="14" applyFont="1" applyBorder="1" applyAlignment="1">
      <alignment horizontal="center" vertical="center"/>
    </xf>
    <xf numFmtId="0" fontId="21" fillId="0" borderId="8" xfId="14" applyFont="1" applyBorder="1" applyAlignment="1">
      <alignment horizontal="center" vertical="center" wrapText="1"/>
    </xf>
    <xf numFmtId="0" fontId="21" fillId="0" borderId="10" xfId="14" applyFont="1" applyBorder="1" applyAlignment="1">
      <alignment horizontal="center" vertical="center" wrapText="1"/>
    </xf>
    <xf numFmtId="0" fontId="16" fillId="0" borderId="7" xfId="10" applyFont="1" applyBorder="1" applyAlignment="1">
      <alignment horizontal="center" vertical="center" wrapText="1"/>
    </xf>
    <xf numFmtId="0" fontId="21" fillId="0" borderId="4" xfId="14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0" applyFont="1" applyBorder="1" applyAlignment="1">
      <alignment horizontal="center" vertical="center" wrapText="1"/>
    </xf>
    <xf numFmtId="0" fontId="21" fillId="0" borderId="6" xfId="14" applyFont="1" applyBorder="1" applyAlignment="1">
      <alignment horizontal="center" vertical="center" wrapText="1"/>
    </xf>
    <xf numFmtId="0" fontId="21" fillId="0" borderId="3" xfId="14" applyFont="1" applyBorder="1" applyAlignment="1">
      <alignment horizontal="center" vertical="center" wrapText="1"/>
    </xf>
    <xf numFmtId="0" fontId="21" fillId="0" borderId="9" xfId="14" applyFont="1" applyBorder="1" applyAlignment="1">
      <alignment horizontal="center" vertical="center" wrapText="1"/>
    </xf>
    <xf numFmtId="0" fontId="21" fillId="0" borderId="0" xfId="10" applyFont="1" applyAlignment="1">
      <alignment horizontal="left" vertical="center"/>
    </xf>
    <xf numFmtId="0" fontId="21" fillId="0" borderId="4" xfId="10" applyFont="1" applyBorder="1" applyAlignment="1">
      <alignment horizontal="center" vertical="center" wrapText="1"/>
    </xf>
    <xf numFmtId="0" fontId="21" fillId="0" borderId="8" xfId="10" applyFont="1" applyBorder="1" applyAlignment="1">
      <alignment horizontal="center" vertical="center" wrapText="1"/>
    </xf>
    <xf numFmtId="0" fontId="21" fillId="0" borderId="10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/>
    </xf>
    <xf numFmtId="0" fontId="21" fillId="0" borderId="4" xfId="10" applyFont="1" applyBorder="1" applyAlignment="1">
      <alignment horizontal="center" vertical="center"/>
    </xf>
    <xf numFmtId="0" fontId="21" fillId="4" borderId="15" xfId="68" applyFont="1" applyFill="1" applyBorder="1" applyAlignment="1">
      <alignment horizontal="center" vertical="center"/>
    </xf>
    <xf numFmtId="0" fontId="21" fillId="4" borderId="16" xfId="68" applyFont="1" applyFill="1" applyBorder="1" applyAlignment="1">
      <alignment horizontal="center" vertical="center"/>
    </xf>
    <xf numFmtId="0" fontId="21" fillId="4" borderId="17" xfId="68" applyFont="1" applyFill="1" applyBorder="1" applyAlignment="1">
      <alignment horizontal="center" vertical="center"/>
    </xf>
    <xf numFmtId="0" fontId="21" fillId="4" borderId="5" xfId="68" applyFont="1" applyFill="1" applyBorder="1" applyAlignment="1">
      <alignment horizontal="center" vertical="center" wrapText="1"/>
    </xf>
    <xf numFmtId="0" fontId="21" fillId="4" borderId="12" xfId="68" applyFont="1" applyFill="1" applyBorder="1" applyAlignment="1">
      <alignment horizontal="center" vertical="center" wrapText="1"/>
    </xf>
    <xf numFmtId="0" fontId="21" fillId="4" borderId="4" xfId="68" quotePrefix="1" applyFont="1" applyFill="1" applyBorder="1" applyAlignment="1">
      <alignment horizontal="center" vertical="center" wrapText="1"/>
    </xf>
    <xf numFmtId="0" fontId="21" fillId="4" borderId="13" xfId="68" quotePrefix="1" applyFont="1" applyFill="1" applyBorder="1" applyAlignment="1">
      <alignment horizontal="center" vertical="center" wrapText="1"/>
    </xf>
    <xf numFmtId="0" fontId="21" fillId="4" borderId="4" xfId="68" applyFont="1" applyFill="1" applyBorder="1" applyAlignment="1">
      <alignment horizontal="center" vertical="center" wrapText="1"/>
    </xf>
    <xf numFmtId="0" fontId="21" fillId="4" borderId="13" xfId="68" applyFont="1" applyFill="1" applyBorder="1" applyAlignment="1">
      <alignment horizontal="center" vertical="center" wrapText="1"/>
    </xf>
    <xf numFmtId="0" fontId="21" fillId="4" borderId="11" xfId="68" applyFont="1" applyFill="1" applyBorder="1" applyAlignment="1">
      <alignment horizontal="center" vertical="center" wrapText="1"/>
    </xf>
    <xf numFmtId="0" fontId="16" fillId="0" borderId="0" xfId="10" applyFont="1" applyAlignment="1">
      <alignment horizontal="left" vertical="center" wrapText="1"/>
    </xf>
    <xf numFmtId="0" fontId="9" fillId="0" borderId="4" xfId="10" applyBorder="1" applyAlignment="1">
      <alignment horizontal="center" vertical="center" wrapText="1"/>
    </xf>
    <xf numFmtId="0" fontId="9" fillId="0" borderId="4" xfId="10" applyBorder="1" applyAlignment="1">
      <alignment horizontal="center" vertical="center"/>
    </xf>
  </cellXfs>
  <cellStyles count="461">
    <cellStyle name="Body" xfId="1"/>
    <cellStyle name="Comma" xfId="71" builtinId="3"/>
    <cellStyle name="Comma  - Style1" xfId="2"/>
    <cellStyle name="Comma 10" xfId="95"/>
    <cellStyle name="Comma 10 2" xfId="96"/>
    <cellStyle name="Comma 10 3" xfId="252"/>
    <cellStyle name="Comma 10 4" xfId="265"/>
    <cellStyle name="Comma 11" xfId="97"/>
    <cellStyle name="Comma 11 2" xfId="19"/>
    <cellStyle name="Comma 11 2 10" xfId="436"/>
    <cellStyle name="Comma 11 2 2" xfId="98"/>
    <cellStyle name="Comma 11 2 2 2" xfId="99"/>
    <cellStyle name="Comma 11 2 2 3" xfId="93"/>
    <cellStyle name="Comma 11 2 2 4" xfId="348"/>
    <cellStyle name="Comma 11 2 2 5" xfId="367"/>
    <cellStyle name="Comma 11 2 2 6" xfId="385"/>
    <cellStyle name="Comma 11 2 2 7" xfId="401"/>
    <cellStyle name="Comma 11 2 2 8" xfId="417"/>
    <cellStyle name="Comma 11 2 3" xfId="209"/>
    <cellStyle name="Comma 11 2 4" xfId="349"/>
    <cellStyle name="Comma 11 2 5" xfId="358"/>
    <cellStyle name="Comma 11 2 6" xfId="376"/>
    <cellStyle name="Comma 11 2 7" xfId="394"/>
    <cellStyle name="Comma 11 2 8" xfId="410"/>
    <cellStyle name="Comma 11 2 9" xfId="72"/>
    <cellStyle name="Comma 12" xfId="100"/>
    <cellStyle name="Comma 13" xfId="101"/>
    <cellStyle name="Comma 14" xfId="102"/>
    <cellStyle name="Comma 15" xfId="103"/>
    <cellStyle name="Comma 15 2" xfId="104"/>
    <cellStyle name="Comma 15 2 2" xfId="105"/>
    <cellStyle name="Comma 15 2 2 2" xfId="106"/>
    <cellStyle name="Comma 15 2 2 3" xfId="249"/>
    <cellStyle name="Comma 15 2 2 4" xfId="262"/>
    <cellStyle name="Comma 15 2 3" xfId="107"/>
    <cellStyle name="Comma 15 2 4" xfId="108"/>
    <cellStyle name="Comma 15 2 5" xfId="109"/>
    <cellStyle name="Comma 15 2 6" xfId="110"/>
    <cellStyle name="Comma 15 2 7" xfId="111"/>
    <cellStyle name="Comma 15 2 8" xfId="112"/>
    <cellStyle name="Comma 15 3" xfId="113"/>
    <cellStyle name="Comma 15 4" xfId="114"/>
    <cellStyle name="Comma 15 5" xfId="115"/>
    <cellStyle name="Comma 15 6" xfId="116"/>
    <cellStyle name="Comma 15 7" xfId="117"/>
    <cellStyle name="Comma 15 8" xfId="118"/>
    <cellStyle name="Comma 16" xfId="119"/>
    <cellStyle name="Comma 16 2" xfId="120"/>
    <cellStyle name="Comma 16 3" xfId="121"/>
    <cellStyle name="Comma 16 4" xfId="122"/>
    <cellStyle name="Comma 16 5" xfId="123"/>
    <cellStyle name="Comma 16 6" xfId="124"/>
    <cellStyle name="Comma 16 7" xfId="125"/>
    <cellStyle name="Comma 16 8" xfId="126"/>
    <cellStyle name="Comma 17" xfId="127"/>
    <cellStyle name="Comma 18" xfId="128"/>
    <cellStyle name="Comma 18 2" xfId="129"/>
    <cellStyle name="Comma 18 2 2" xfId="130"/>
    <cellStyle name="Comma 19" xfId="131"/>
    <cellStyle name="Comma 2" xfId="24"/>
    <cellStyle name="Comma 2 10" xfId="248"/>
    <cellStyle name="Comma 2 11" xfId="261"/>
    <cellStyle name="Comma 2 12" xfId="286"/>
    <cellStyle name="Comma 2 13" xfId="328"/>
    <cellStyle name="Comma 2 14" xfId="281"/>
    <cellStyle name="Comma 2 15" xfId="368"/>
    <cellStyle name="Comma 2 16" xfId="386"/>
    <cellStyle name="Comma 2 17" xfId="402"/>
    <cellStyle name="Comma 2 18" xfId="73"/>
    <cellStyle name="Comma 2 2" xfId="25"/>
    <cellStyle name="Comma 2 2 10" xfId="326"/>
    <cellStyle name="Comma 2 2 11" xfId="283"/>
    <cellStyle name="Comma 2 2 12" xfId="332"/>
    <cellStyle name="Comma 2 2 13" xfId="277"/>
    <cellStyle name="Comma 2 2 14" xfId="337"/>
    <cellStyle name="Comma 2 2 15" xfId="74"/>
    <cellStyle name="Comma 2 2 2" xfId="63"/>
    <cellStyle name="Comma 2 2 2 2" xfId="134"/>
    <cellStyle name="Comma 2 2 2 3" xfId="288"/>
    <cellStyle name="Comma 2 2 2 4" xfId="325"/>
    <cellStyle name="Comma 2 2 2 5" xfId="284"/>
    <cellStyle name="Comma 2 2 2 6" xfId="331"/>
    <cellStyle name="Comma 2 2 2 7" xfId="278"/>
    <cellStyle name="Comma 2 2 2 8" xfId="335"/>
    <cellStyle name="Comma 2 2 3" xfId="133"/>
    <cellStyle name="Comma 2 2 4" xfId="136"/>
    <cellStyle name="Comma 2 2 5" xfId="137"/>
    <cellStyle name="Comma 2 2 6" xfId="138"/>
    <cellStyle name="Comma 2 2 7" xfId="139"/>
    <cellStyle name="Comma 2 2 8" xfId="140"/>
    <cellStyle name="Comma 2 2 9" xfId="287"/>
    <cellStyle name="Comma 2 3" xfId="26"/>
    <cellStyle name="Comma 2 3 2" xfId="141"/>
    <cellStyle name="Comma 2 3 3" xfId="296"/>
    <cellStyle name="Comma 2 3 4" xfId="313"/>
    <cellStyle name="Comma 2 3 5" xfId="299"/>
    <cellStyle name="Comma 2 3 6" xfId="312"/>
    <cellStyle name="Comma 2 3 7" xfId="300"/>
    <cellStyle name="Comma 2 3 8" xfId="311"/>
    <cellStyle name="Comma 2 3 9" xfId="75"/>
    <cellStyle name="Comma 2 4" xfId="56"/>
    <cellStyle name="Comma 2 4 2" xfId="142"/>
    <cellStyle name="Comma 2 4 3" xfId="297"/>
    <cellStyle name="Comma 2 4 4" xfId="366"/>
    <cellStyle name="Comma 2 4 5" xfId="384"/>
    <cellStyle name="Comma 2 4 6" xfId="400"/>
    <cellStyle name="Comma 2 4 7" xfId="416"/>
    <cellStyle name="Comma 2 4 8" xfId="429"/>
    <cellStyle name="Comma 2 5" xfId="132"/>
    <cellStyle name="Comma 2 6" xfId="144"/>
    <cellStyle name="Comma 2 7" xfId="145"/>
    <cellStyle name="Comma 2 8" xfId="146"/>
    <cellStyle name="Comma 2 9" xfId="147"/>
    <cellStyle name="Comma 20" xfId="148"/>
    <cellStyle name="Comma 21" xfId="149"/>
    <cellStyle name="Comma 22" xfId="150"/>
    <cellStyle name="Comma 23" xfId="151"/>
    <cellStyle name="Comma 24" xfId="152"/>
    <cellStyle name="Comma 25" xfId="153"/>
    <cellStyle name="Comma 26" xfId="154"/>
    <cellStyle name="Comma 27" xfId="155"/>
    <cellStyle name="Comma 28" xfId="156"/>
    <cellStyle name="Comma 29" xfId="157"/>
    <cellStyle name="Comma 3" xfId="27"/>
    <cellStyle name="Comma 3 10" xfId="76"/>
    <cellStyle name="Comma 3 2" xfId="62"/>
    <cellStyle name="Comma 3 2 2" xfId="77"/>
    <cellStyle name="Comma 3 2 3" xfId="437"/>
    <cellStyle name="Comma 3 3" xfId="158"/>
    <cellStyle name="Comma 3 4" xfId="302"/>
    <cellStyle name="Comma 3 5" xfId="362"/>
    <cellStyle name="Comma 3 6" xfId="380"/>
    <cellStyle name="Comma 3 7" xfId="397"/>
    <cellStyle name="Comma 3 8" xfId="413"/>
    <cellStyle name="Comma 3 9" xfId="427"/>
    <cellStyle name="Comma 30" xfId="159"/>
    <cellStyle name="Comma 31" xfId="160"/>
    <cellStyle name="Comma 32" xfId="161"/>
    <cellStyle name="Comma 33" xfId="162"/>
    <cellStyle name="Comma 34" xfId="163"/>
    <cellStyle name="Comma 35" xfId="164"/>
    <cellStyle name="Comma 36" xfId="165"/>
    <cellStyle name="Comma 37" xfId="166"/>
    <cellStyle name="Comma 38" xfId="250"/>
    <cellStyle name="Comma 39" xfId="255"/>
    <cellStyle name="Comma 4" xfId="28"/>
    <cellStyle name="Comma 4 10" xfId="78"/>
    <cellStyle name="Comma 4 2" xfId="64"/>
    <cellStyle name="Comma 4 2 10" xfId="438"/>
    <cellStyle name="Comma 4 2 2" xfId="168"/>
    <cellStyle name="Comma 4 2 3" xfId="306"/>
    <cellStyle name="Comma 4 2 4" xfId="360"/>
    <cellStyle name="Comma 4 2 5" xfId="378"/>
    <cellStyle name="Comma 4 2 6" xfId="396"/>
    <cellStyle name="Comma 4 2 7" xfId="412"/>
    <cellStyle name="Comma 4 2 8" xfId="426"/>
    <cellStyle name="Comma 4 2 9" xfId="79"/>
    <cellStyle name="Comma 4 3" xfId="169"/>
    <cellStyle name="Comma 4 4" xfId="170"/>
    <cellStyle name="Comma 4 5" xfId="171"/>
    <cellStyle name="Comma 4 6" xfId="172"/>
    <cellStyle name="Comma 4 7" xfId="173"/>
    <cellStyle name="Comma 4 8" xfId="174"/>
    <cellStyle name="Comma 4 9" xfId="175"/>
    <cellStyle name="Comma 40" xfId="257"/>
    <cellStyle name="Comma 41" xfId="259"/>
    <cellStyle name="Comma 42" xfId="263"/>
    <cellStyle name="Comma 43" xfId="267"/>
    <cellStyle name="Comma 44" xfId="452"/>
    <cellStyle name="Comma 45" xfId="454"/>
    <cellStyle name="Comma 46" xfId="456"/>
    <cellStyle name="Comma 47" xfId="458"/>
    <cellStyle name="Comma 48" xfId="459"/>
    <cellStyle name="Comma 49" xfId="422"/>
    <cellStyle name="Comma 5" xfId="29"/>
    <cellStyle name="Comma 5 10" xfId="177"/>
    <cellStyle name="Comma 5 11" xfId="309"/>
    <cellStyle name="Comma 5 12" xfId="303"/>
    <cellStyle name="Comma 5 13" xfId="308"/>
    <cellStyle name="Comma 5 14" xfId="304"/>
    <cellStyle name="Comma 5 15" xfId="307"/>
    <cellStyle name="Comma 5 16" xfId="305"/>
    <cellStyle name="Comma 5 17" xfId="80"/>
    <cellStyle name="Comma 5 18" xfId="439"/>
    <cellStyle name="Comma 5 2" xfId="176"/>
    <cellStyle name="Comma 5 2 2" xfId="178"/>
    <cellStyle name="Comma 5 2 3" xfId="310"/>
    <cellStyle name="Comma 5 2 4" xfId="301"/>
    <cellStyle name="Comma 5 2 5" xfId="365"/>
    <cellStyle name="Comma 5 2 6" xfId="383"/>
    <cellStyle name="Comma 5 2 7" xfId="399"/>
    <cellStyle name="Comma 5 2 8" xfId="415"/>
    <cellStyle name="Comma 5 3" xfId="179"/>
    <cellStyle name="Comma 5 3 2" xfId="180"/>
    <cellStyle name="Comma 5 3 3" xfId="181"/>
    <cellStyle name="Comma 5 3 4" xfId="182"/>
    <cellStyle name="Comma 5 3 5" xfId="183"/>
    <cellStyle name="Comma 5 3 6" xfId="184"/>
    <cellStyle name="Comma 5 3 7" xfId="185"/>
    <cellStyle name="Comma 5 3 8" xfId="186"/>
    <cellStyle name="Comma 5 4" xfId="187"/>
    <cellStyle name="Comma 5 4 2" xfId="188"/>
    <cellStyle name="Comma 5 4 2 2" xfId="189"/>
    <cellStyle name="Comma 5 4 2 3" xfId="251"/>
    <cellStyle name="Comma 5 4 2 4" xfId="264"/>
    <cellStyle name="Comma 5 5" xfId="190"/>
    <cellStyle name="Comma 5 6" xfId="191"/>
    <cellStyle name="Comma 5 7" xfId="192"/>
    <cellStyle name="Comma 5 8" xfId="193"/>
    <cellStyle name="Comma 5 9" xfId="194"/>
    <cellStyle name="Comma 6" xfId="48"/>
    <cellStyle name="Comma 6 2" xfId="49"/>
    <cellStyle name="Comma 6 3" xfId="50"/>
    <cellStyle name="Comma 6 4" xfId="51"/>
    <cellStyle name="Comma 6 5" xfId="81"/>
    <cellStyle name="Comma 7" xfId="21"/>
    <cellStyle name="Comma 7 2" xfId="196"/>
    <cellStyle name="Comma 7 3" xfId="318"/>
    <cellStyle name="Comma 7 4" xfId="292"/>
    <cellStyle name="Comma 7 5" xfId="316"/>
    <cellStyle name="Comma 7 6" xfId="294"/>
    <cellStyle name="Comma 7 7" xfId="314"/>
    <cellStyle name="Comma 7 8" xfId="298"/>
    <cellStyle name="Comma 8" xfId="65"/>
    <cellStyle name="Comma 8 10" xfId="440"/>
    <cellStyle name="Comma 8 2" xfId="197"/>
    <cellStyle name="Comma 8 3" xfId="319"/>
    <cellStyle name="Comma 8 4" xfId="291"/>
    <cellStyle name="Comma 8 5" xfId="317"/>
    <cellStyle name="Comma 8 6" xfId="293"/>
    <cellStyle name="Comma 8 7" xfId="315"/>
    <cellStyle name="Comma 8 8" xfId="295"/>
    <cellStyle name="Comma 8 9" xfId="82"/>
    <cellStyle name="Comma 9" xfId="94"/>
    <cellStyle name="Comma 9 2" xfId="198"/>
    <cellStyle name="Comma 9 3" xfId="320"/>
    <cellStyle name="Comma 9 4" xfId="290"/>
    <cellStyle name="Comma 9 5" xfId="321"/>
    <cellStyle name="Comma 9 6" xfId="289"/>
    <cellStyle name="Comma 9 7" xfId="243"/>
    <cellStyle name="Comma 9 8" xfId="354"/>
    <cellStyle name="Curren - Style2" xfId="3"/>
    <cellStyle name="Grey" xfId="4"/>
    <cellStyle name="Header1" xfId="5"/>
    <cellStyle name="Header2" xfId="6"/>
    <cellStyle name="Hyperlink 2" xfId="199"/>
    <cellStyle name="Input [yellow]" xfId="7"/>
    <cellStyle name="no dec" xfId="8"/>
    <cellStyle name="Normal" xfId="0" builtinId="0"/>
    <cellStyle name="Normal - Style1" xfId="9"/>
    <cellStyle name="Normal 10" xfId="67"/>
    <cellStyle name="Normal 10 10" xfId="441"/>
    <cellStyle name="Normal 10 2" xfId="200"/>
    <cellStyle name="Normal 10 3" xfId="322"/>
    <cellStyle name="Normal 10 4" xfId="364"/>
    <cellStyle name="Normal 10 5" xfId="382"/>
    <cellStyle name="Normal 10 6" xfId="398"/>
    <cellStyle name="Normal 10 7" xfId="414"/>
    <cellStyle name="Normal 10 8" xfId="428"/>
    <cellStyle name="Normal 10 9" xfId="83"/>
    <cellStyle name="Normal 11" xfId="69"/>
    <cellStyle name="Normal 11 10" xfId="442"/>
    <cellStyle name="Normal 11 2" xfId="201"/>
    <cellStyle name="Normal 11 3" xfId="323"/>
    <cellStyle name="Normal 11 4" xfId="357"/>
    <cellStyle name="Normal 11 5" xfId="375"/>
    <cellStyle name="Normal 11 6" xfId="393"/>
    <cellStyle name="Normal 11 7" xfId="409"/>
    <cellStyle name="Normal 11 8" xfId="425"/>
    <cellStyle name="Normal 11 9" xfId="84"/>
    <cellStyle name="Normal 12" xfId="70"/>
    <cellStyle name="Normal 12 10" xfId="443"/>
    <cellStyle name="Normal 12 2" xfId="202"/>
    <cellStyle name="Normal 12 3" xfId="324"/>
    <cellStyle name="Normal 12 4" xfId="285"/>
    <cellStyle name="Normal 12 5" xfId="329"/>
    <cellStyle name="Normal 12 6" xfId="280"/>
    <cellStyle name="Normal 12 7" xfId="333"/>
    <cellStyle name="Normal 12 8" xfId="276"/>
    <cellStyle name="Normal 12 9" xfId="85"/>
    <cellStyle name="Normal 13" xfId="203"/>
    <cellStyle name="Normal 14" xfId="204"/>
    <cellStyle name="Normal 14 2" xfId="68"/>
    <cellStyle name="Normal 14 2 2" xfId="86"/>
    <cellStyle name="Normal 14 2 3" xfId="444"/>
    <cellStyle name="Normal 15" xfId="18"/>
    <cellStyle name="Normal 15 10" xfId="445"/>
    <cellStyle name="Normal 15 2" xfId="205"/>
    <cellStyle name="Normal 15 3" xfId="327"/>
    <cellStyle name="Normal 15 4" xfId="282"/>
    <cellStyle name="Normal 15 5" xfId="359"/>
    <cellStyle name="Normal 15 6" xfId="377"/>
    <cellStyle name="Normal 15 7" xfId="395"/>
    <cellStyle name="Normal 15 8" xfId="411"/>
    <cellStyle name="Normal 15 9" xfId="87"/>
    <cellStyle name="Normal 16" xfId="206"/>
    <cellStyle name="Normal 17" xfId="207"/>
    <cellStyle name="Normal 18" xfId="61"/>
    <cellStyle name="Normal 18 10" xfId="446"/>
    <cellStyle name="Normal 18 2" xfId="208"/>
    <cellStyle name="Normal 18 2 2" xfId="210"/>
    <cellStyle name="Normal 18 2 3" xfId="253"/>
    <cellStyle name="Normal 18 2 4" xfId="266"/>
    <cellStyle name="Normal 18 3" xfId="330"/>
    <cellStyle name="Normal 18 4" xfId="279"/>
    <cellStyle name="Normal 18 5" xfId="334"/>
    <cellStyle name="Normal 18 6" xfId="275"/>
    <cellStyle name="Normal 18 7" xfId="338"/>
    <cellStyle name="Normal 18 8" xfId="273"/>
    <cellStyle name="Normal 18 9" xfId="88"/>
    <cellStyle name="Normal 19" xfId="211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3 2" xfId="214"/>
    <cellStyle name="Normal 2 3 3" xfId="336"/>
    <cellStyle name="Normal 2 3 4" xfId="274"/>
    <cellStyle name="Normal 2 3 5" xfId="339"/>
    <cellStyle name="Normal 2 3 6" xfId="272"/>
    <cellStyle name="Normal 2 3 7" xfId="340"/>
    <cellStyle name="Normal 2 3 8" xfId="271"/>
    <cellStyle name="Normal 2 4" xfId="52"/>
    <cellStyle name="Normal 2_ARR FINAL" xfId="32"/>
    <cellStyle name="Normal 20" xfId="215"/>
    <cellStyle name="Normal 21" xfId="216"/>
    <cellStyle name="Normal 22" xfId="217"/>
    <cellStyle name="Normal 23" xfId="218"/>
    <cellStyle name="Normal 24" xfId="219"/>
    <cellStyle name="Normal 25" xfId="220"/>
    <cellStyle name="Normal 26" xfId="221"/>
    <cellStyle name="Normal 27" xfId="222"/>
    <cellStyle name="Normal 28" xfId="223"/>
    <cellStyle name="Normal 29" xfId="224"/>
    <cellStyle name="Normal 3" xfId="13"/>
    <cellStyle name="Normal 3 10" xfId="270"/>
    <cellStyle name="Normal 3 11" xfId="343"/>
    <cellStyle name="Normal 3 12" xfId="135"/>
    <cellStyle name="Normal 3 13" xfId="361"/>
    <cellStyle name="Normal 3 14" xfId="379"/>
    <cellStyle name="Normal 3 2" xfId="33"/>
    <cellStyle name="Normal 3 2 2" xfId="58"/>
    <cellStyle name="Normal 3 2 3" xfId="226"/>
    <cellStyle name="Normal 3 2 4" xfId="342"/>
    <cellStyle name="Normal 3 2 5" xfId="269"/>
    <cellStyle name="Normal 3 2 6" xfId="344"/>
    <cellStyle name="Normal 3 2 7" xfId="143"/>
    <cellStyle name="Normal 3 2 8" xfId="363"/>
    <cellStyle name="Normal 3 2 9" xfId="381"/>
    <cellStyle name="Normal 3 3" xfId="225"/>
    <cellStyle name="Normal 3 4" xfId="227"/>
    <cellStyle name="Normal 3 5" xfId="228"/>
    <cellStyle name="Normal 3 6" xfId="229"/>
    <cellStyle name="Normal 3 7" xfId="230"/>
    <cellStyle name="Normal 3 8" xfId="231"/>
    <cellStyle name="Normal 3 9" xfId="341"/>
    <cellStyle name="Normal 30" xfId="232"/>
    <cellStyle name="Normal 31" xfId="247"/>
    <cellStyle name="Normal 32" xfId="254"/>
    <cellStyle name="Normal 33" xfId="256"/>
    <cellStyle name="Normal 34" xfId="258"/>
    <cellStyle name="Normal 35" xfId="260"/>
    <cellStyle name="Normal 36" xfId="268"/>
    <cellStyle name="Normal 37" xfId="435"/>
    <cellStyle name="Normal 38" xfId="451"/>
    <cellStyle name="Normal 39" xfId="22"/>
    <cellStyle name="Normal 4" xfId="34"/>
    <cellStyle name="Normal 4 10" xfId="167"/>
    <cellStyle name="Normal 4 11" xfId="369"/>
    <cellStyle name="Normal 4 12" xfId="387"/>
    <cellStyle name="Normal 4 13" xfId="403"/>
    <cellStyle name="Normal 4 14" xfId="418"/>
    <cellStyle name="Normal 4 2" xfId="59"/>
    <cellStyle name="Normal 4 2 2" xfId="234"/>
    <cellStyle name="Normal 4 2 3" xfId="346"/>
    <cellStyle name="Normal 4 2 4" xfId="195"/>
    <cellStyle name="Normal 4 2 5" xfId="347"/>
    <cellStyle name="Normal 4 2 6" xfId="212"/>
    <cellStyle name="Normal 4 2 7" xfId="350"/>
    <cellStyle name="Normal 4 2 8" xfId="213"/>
    <cellStyle name="Normal 4 3" xfId="233"/>
    <cellStyle name="Normal 4 4" xfId="235"/>
    <cellStyle name="Normal 4 5" xfId="236"/>
    <cellStyle name="Normal 4 6" xfId="237"/>
    <cellStyle name="Normal 4 7" xfId="238"/>
    <cellStyle name="Normal 4 8" xfId="239"/>
    <cellStyle name="Normal 4 9" xfId="345"/>
    <cellStyle name="Normal 40" xfId="453"/>
    <cellStyle name="Normal 41" xfId="455"/>
    <cellStyle name="Normal 42" xfId="457"/>
    <cellStyle name="Normal 5" xfId="35"/>
    <cellStyle name="Normal 5 10" xfId="89"/>
    <cellStyle name="Normal 5 11" xfId="447"/>
    <cellStyle name="Normal 5 2" xfId="36"/>
    <cellStyle name="Normal 5 3" xfId="240"/>
    <cellStyle name="Normal 5 4" xfId="351"/>
    <cellStyle name="Normal 5 5" xfId="370"/>
    <cellStyle name="Normal 5 6" xfId="388"/>
    <cellStyle name="Normal 5 7" xfId="404"/>
    <cellStyle name="Normal 5 8" xfId="419"/>
    <cellStyle name="Normal 5 9" xfId="430"/>
    <cellStyle name="Normal 6" xfId="37"/>
    <cellStyle name="Normal 6 2" xfId="241"/>
    <cellStyle name="Normal 6 3" xfId="352"/>
    <cellStyle name="Normal 6 4" xfId="371"/>
    <cellStyle name="Normal 6 5" xfId="389"/>
    <cellStyle name="Normal 6 6" xfId="405"/>
    <cellStyle name="Normal 6 7" xfId="420"/>
    <cellStyle name="Normal 6 8" xfId="431"/>
    <cellStyle name="Normal 7" xfId="38"/>
    <cellStyle name="Normal 7 10" xfId="448"/>
    <cellStyle name="Normal 7 2" xfId="242"/>
    <cellStyle name="Normal 7 2 2" xfId="244"/>
    <cellStyle name="Normal 7 3" xfId="353"/>
    <cellStyle name="Normal 7 4" xfId="372"/>
    <cellStyle name="Normal 7 5" xfId="390"/>
    <cellStyle name="Normal 7 6" xfId="406"/>
    <cellStyle name="Normal 7 7" xfId="421"/>
    <cellStyle name="Normal 7 8" xfId="432"/>
    <cellStyle name="Normal 7 9" xfId="90"/>
    <cellStyle name="Normal 8" xfId="53"/>
    <cellStyle name="Normal 8 2" xfId="245"/>
    <cellStyle name="Normal 8 3" xfId="355"/>
    <cellStyle name="Normal 8 4" xfId="373"/>
    <cellStyle name="Normal 8 5" xfId="391"/>
    <cellStyle name="Normal 8 6" xfId="407"/>
    <cellStyle name="Normal 8 7" xfId="423"/>
    <cellStyle name="Normal 8 8" xfId="433"/>
    <cellStyle name="Normal 9" xfId="54"/>
    <cellStyle name="Normal 9 2" xfId="246"/>
    <cellStyle name="Normal 9 3" xfId="356"/>
    <cellStyle name="Normal 9 4" xfId="374"/>
    <cellStyle name="Normal 9 5" xfId="392"/>
    <cellStyle name="Normal 9 6" xfId="408"/>
    <cellStyle name="Normal 9 7" xfId="424"/>
    <cellStyle name="Normal 9 8" xfId="434"/>
    <cellStyle name="Normal_FORMATS 5 YEAR ALOKE 2" xfId="14"/>
    <cellStyle name="Percent [0]_#6 Temps &amp; Contractors" xfId="15"/>
    <cellStyle name="Percent [2]" xfId="16"/>
    <cellStyle name="Percent 10" xfId="460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41 2" xfId="91"/>
    <cellStyle name="Percent 41 3" xfId="449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Percent 7 2" xfId="92"/>
    <cellStyle name="Percent 7 3" xfId="450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8"/>
  <sheetViews>
    <sheetView showGridLines="0" zoomScale="80" zoomScaleNormal="80" zoomScaleSheetLayoutView="80" workbookViewId="0">
      <selection activeCell="D7" sqref="F7"/>
    </sheetView>
  </sheetViews>
  <sheetFormatPr defaultColWidth="9.28515625" defaultRowHeight="15" x14ac:dyDescent="0.2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8" width="18.7109375" style="6" customWidth="1"/>
    <col min="9" max="16384" width="9.28515625" style="6"/>
  </cols>
  <sheetData>
    <row r="2" spans="2:8" ht="15.75" x14ac:dyDescent="0.2">
      <c r="B2" s="189" t="s">
        <v>303</v>
      </c>
      <c r="C2" s="189"/>
      <c r="D2" s="190"/>
      <c r="E2" s="190"/>
      <c r="F2" s="1"/>
      <c r="G2" s="1"/>
      <c r="H2" s="1"/>
    </row>
    <row r="3" spans="2:8" ht="15.75" x14ac:dyDescent="0.2">
      <c r="B3" s="189" t="s">
        <v>345</v>
      </c>
      <c r="C3" s="189"/>
      <c r="D3" s="190"/>
      <c r="E3" s="190"/>
      <c r="F3" s="1"/>
      <c r="G3" s="1"/>
      <c r="H3" s="1"/>
    </row>
    <row r="4" spans="2:8" s="12" customFormat="1" ht="15.75" x14ac:dyDescent="0.2">
      <c r="B4" s="191" t="s">
        <v>279</v>
      </c>
      <c r="C4" s="191"/>
      <c r="D4" s="192"/>
      <c r="E4" s="192"/>
      <c r="F4" s="1"/>
      <c r="G4" s="1"/>
      <c r="H4" s="1"/>
    </row>
    <row r="5" spans="2:8" ht="15.75" x14ac:dyDescent="0.2">
      <c r="D5" s="67" t="s">
        <v>281</v>
      </c>
    </row>
    <row r="6" spans="2:8" ht="15.75" x14ac:dyDescent="0.2">
      <c r="G6" s="7"/>
    </row>
    <row r="7" spans="2:8" ht="15.75" x14ac:dyDescent="0.2">
      <c r="B7" s="13" t="s">
        <v>167</v>
      </c>
      <c r="C7" s="13" t="s">
        <v>280</v>
      </c>
      <c r="D7" s="14" t="s">
        <v>7</v>
      </c>
      <c r="E7" s="14" t="s">
        <v>282</v>
      </c>
    </row>
    <row r="8" spans="2:8" x14ac:dyDescent="0.2">
      <c r="B8" s="8">
        <v>1</v>
      </c>
      <c r="C8" s="8" t="s">
        <v>6</v>
      </c>
      <c r="D8" s="9" t="s">
        <v>284</v>
      </c>
      <c r="E8" s="10"/>
    </row>
    <row r="9" spans="2:8" x14ac:dyDescent="0.2">
      <c r="B9" s="8">
        <f>B8+1</f>
        <v>2</v>
      </c>
      <c r="C9" s="8" t="s">
        <v>238</v>
      </c>
      <c r="D9" s="9" t="s">
        <v>286</v>
      </c>
      <c r="E9" s="10"/>
    </row>
    <row r="10" spans="2:8" x14ac:dyDescent="0.2">
      <c r="B10" s="8">
        <f>B9+1</f>
        <v>3</v>
      </c>
      <c r="C10" s="8" t="s">
        <v>24</v>
      </c>
      <c r="D10" s="9" t="s">
        <v>287</v>
      </c>
      <c r="E10" s="10"/>
    </row>
    <row r="11" spans="2:8" x14ac:dyDescent="0.2">
      <c r="B11" s="8">
        <f>B10+1</f>
        <v>4</v>
      </c>
      <c r="C11" s="8" t="s">
        <v>25</v>
      </c>
      <c r="D11" s="9" t="s">
        <v>288</v>
      </c>
      <c r="E11" s="10"/>
    </row>
    <row r="12" spans="2:8" x14ac:dyDescent="0.2">
      <c r="B12" s="8">
        <f>B11+1</f>
        <v>5</v>
      </c>
      <c r="C12" s="8" t="s">
        <v>239</v>
      </c>
      <c r="D12" s="9" t="s">
        <v>289</v>
      </c>
      <c r="E12" s="10"/>
    </row>
    <row r="13" spans="2:8" x14ac:dyDescent="0.2">
      <c r="B13" s="8">
        <f t="shared" ref="B13:B28" si="0">B12+1</f>
        <v>6</v>
      </c>
      <c r="C13" s="8" t="s">
        <v>22</v>
      </c>
      <c r="D13" s="9" t="s">
        <v>191</v>
      </c>
      <c r="E13" s="10"/>
    </row>
    <row r="14" spans="2:8" x14ac:dyDescent="0.2">
      <c r="B14" s="8">
        <f t="shared" si="0"/>
        <v>7</v>
      </c>
      <c r="C14" s="8" t="s">
        <v>27</v>
      </c>
      <c r="D14" s="9" t="s">
        <v>290</v>
      </c>
      <c r="E14" s="10"/>
    </row>
    <row r="15" spans="2:8" x14ac:dyDescent="0.2">
      <c r="B15" s="8">
        <f t="shared" si="0"/>
        <v>8</v>
      </c>
      <c r="C15" s="8" t="s">
        <v>28</v>
      </c>
      <c r="D15" s="11" t="s">
        <v>164</v>
      </c>
      <c r="E15" s="10"/>
    </row>
    <row r="16" spans="2:8" x14ac:dyDescent="0.2">
      <c r="B16" s="8">
        <f t="shared" si="0"/>
        <v>9</v>
      </c>
      <c r="C16" s="8" t="s">
        <v>23</v>
      </c>
      <c r="D16" s="11" t="s">
        <v>291</v>
      </c>
      <c r="E16" s="10"/>
    </row>
    <row r="17" spans="2:5" x14ac:dyDescent="0.2">
      <c r="B17" s="8">
        <f t="shared" si="0"/>
        <v>10</v>
      </c>
      <c r="C17" s="8" t="s">
        <v>29</v>
      </c>
      <c r="D17" s="9" t="s">
        <v>202</v>
      </c>
      <c r="E17" s="10"/>
    </row>
    <row r="18" spans="2:5" x14ac:dyDescent="0.2">
      <c r="B18" s="8">
        <f t="shared" si="0"/>
        <v>11</v>
      </c>
      <c r="C18" s="8" t="s">
        <v>30</v>
      </c>
      <c r="D18" s="11" t="s">
        <v>261</v>
      </c>
      <c r="E18" s="10"/>
    </row>
    <row r="19" spans="2:5" x14ac:dyDescent="0.2">
      <c r="B19" s="8">
        <f t="shared" si="0"/>
        <v>12</v>
      </c>
      <c r="C19" s="8" t="s">
        <v>31</v>
      </c>
      <c r="D19" s="11" t="s">
        <v>203</v>
      </c>
      <c r="E19" s="10"/>
    </row>
    <row r="20" spans="2:5" x14ac:dyDescent="0.2">
      <c r="B20" s="8">
        <f t="shared" si="0"/>
        <v>13</v>
      </c>
      <c r="C20" s="8" t="s">
        <v>32</v>
      </c>
      <c r="D20" s="11" t="s">
        <v>142</v>
      </c>
      <c r="E20" s="10"/>
    </row>
    <row r="21" spans="2:5" x14ac:dyDescent="0.2">
      <c r="B21" s="8">
        <f t="shared" si="0"/>
        <v>14</v>
      </c>
      <c r="C21" s="8" t="s">
        <v>33</v>
      </c>
      <c r="D21" s="11" t="s">
        <v>26</v>
      </c>
      <c r="E21" s="10"/>
    </row>
    <row r="22" spans="2:5" x14ac:dyDescent="0.2">
      <c r="B22" s="8">
        <f t="shared" si="0"/>
        <v>15</v>
      </c>
      <c r="C22" s="8" t="s">
        <v>34</v>
      </c>
      <c r="D22" s="9" t="s">
        <v>292</v>
      </c>
      <c r="E22" s="10"/>
    </row>
    <row r="23" spans="2:5" x14ac:dyDescent="0.2">
      <c r="B23" s="8">
        <f t="shared" si="0"/>
        <v>16</v>
      </c>
      <c r="C23" s="8" t="s">
        <v>35</v>
      </c>
      <c r="D23" s="9" t="s">
        <v>293</v>
      </c>
      <c r="E23" s="10"/>
    </row>
    <row r="24" spans="2:5" x14ac:dyDescent="0.2">
      <c r="B24" s="8">
        <f t="shared" si="0"/>
        <v>17</v>
      </c>
      <c r="C24" s="8" t="s">
        <v>143</v>
      </c>
      <c r="D24" s="9" t="s">
        <v>206</v>
      </c>
      <c r="E24" s="10"/>
    </row>
    <row r="25" spans="2:5" x14ac:dyDescent="0.2">
      <c r="B25" s="8">
        <f t="shared" si="0"/>
        <v>18</v>
      </c>
      <c r="C25" s="8" t="s">
        <v>148</v>
      </c>
      <c r="D25" s="9" t="s">
        <v>294</v>
      </c>
      <c r="E25" s="10"/>
    </row>
    <row r="26" spans="2:5" x14ac:dyDescent="0.2">
      <c r="B26" s="8">
        <f t="shared" si="0"/>
        <v>19</v>
      </c>
      <c r="C26" s="8" t="s">
        <v>283</v>
      </c>
      <c r="D26" s="9" t="s">
        <v>198</v>
      </c>
      <c r="E26" s="10"/>
    </row>
    <row r="27" spans="2:5" x14ac:dyDescent="0.2">
      <c r="B27" s="8">
        <f t="shared" si="0"/>
        <v>20</v>
      </c>
      <c r="C27" s="8" t="s">
        <v>192</v>
      </c>
      <c r="D27" s="9" t="s">
        <v>295</v>
      </c>
      <c r="E27" s="10"/>
    </row>
    <row r="28" spans="2:5" x14ac:dyDescent="0.2">
      <c r="B28" s="8">
        <f t="shared" si="0"/>
        <v>21</v>
      </c>
      <c r="C28" s="8" t="s">
        <v>193</v>
      </c>
      <c r="D28" s="11" t="s">
        <v>296</v>
      </c>
      <c r="E28" s="10"/>
    </row>
  </sheetData>
  <mergeCells count="3">
    <mergeCell ref="B2:E2"/>
    <mergeCell ref="B4:E4"/>
    <mergeCell ref="B3:E3"/>
  </mergeCells>
  <phoneticPr fontId="12" type="noConversion"/>
  <pageMargins left="0.55000000000000004" right="0.23622047244094491" top="1.1023622047244095" bottom="0.98425196850393704" header="0.23622047244094491" footer="0.23622047244094491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3"/>
  <sheetViews>
    <sheetView view="pageBreakPreview" zoomScale="93" zoomScaleNormal="93" zoomScaleSheetLayoutView="93" workbookViewId="0">
      <selection activeCell="D7" sqref="F7"/>
    </sheetView>
  </sheetViews>
  <sheetFormatPr defaultColWidth="9.28515625" defaultRowHeight="14.25" x14ac:dyDescent="0.2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3.14062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5" ht="15" x14ac:dyDescent="0.2">
      <c r="B1" s="26"/>
    </row>
    <row r="2" spans="2:15" ht="15" x14ac:dyDescent="0.2">
      <c r="H2" s="34" t="s">
        <v>304</v>
      </c>
      <c r="I2" s="35"/>
    </row>
    <row r="3" spans="2:15" ht="15" x14ac:dyDescent="0.2">
      <c r="H3" s="34" t="s">
        <v>346</v>
      </c>
      <c r="I3" s="35"/>
    </row>
    <row r="4" spans="2:15" ht="15" x14ac:dyDescent="0.2">
      <c r="H4" s="37" t="s">
        <v>244</v>
      </c>
      <c r="I4" s="37"/>
    </row>
    <row r="5" spans="2:15" ht="15.75" thickBot="1" x14ac:dyDescent="0.25">
      <c r="K5" s="37"/>
      <c r="O5" s="34" t="s">
        <v>4</v>
      </c>
    </row>
    <row r="6" spans="2:15" ht="15" x14ac:dyDescent="0.2">
      <c r="B6" s="214" t="s">
        <v>305</v>
      </c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6"/>
    </row>
    <row r="7" spans="2:15" ht="14.25" customHeight="1" x14ac:dyDescent="0.2">
      <c r="B7" s="217" t="s">
        <v>2</v>
      </c>
      <c r="C7" s="219" t="s">
        <v>237</v>
      </c>
      <c r="D7" s="221" t="s">
        <v>225</v>
      </c>
      <c r="E7" s="221" t="s">
        <v>226</v>
      </c>
      <c r="F7" s="221" t="s">
        <v>227</v>
      </c>
      <c r="G7" s="221"/>
      <c r="H7" s="221"/>
      <c r="I7" s="221"/>
      <c r="J7" s="221" t="s">
        <v>228</v>
      </c>
      <c r="K7" s="221"/>
      <c r="L7" s="221"/>
      <c r="M7" s="221"/>
      <c r="N7" s="221" t="s">
        <v>229</v>
      </c>
      <c r="O7" s="223"/>
    </row>
    <row r="8" spans="2:15" ht="60.75" thickBot="1" x14ac:dyDescent="0.25">
      <c r="B8" s="218"/>
      <c r="C8" s="220"/>
      <c r="D8" s="222"/>
      <c r="E8" s="222"/>
      <c r="F8" s="65" t="s">
        <v>230</v>
      </c>
      <c r="G8" s="65" t="s">
        <v>126</v>
      </c>
      <c r="H8" s="65" t="s">
        <v>231</v>
      </c>
      <c r="I8" s="65" t="s">
        <v>232</v>
      </c>
      <c r="J8" s="65" t="s">
        <v>233</v>
      </c>
      <c r="K8" s="65" t="s">
        <v>126</v>
      </c>
      <c r="L8" s="65" t="s">
        <v>234</v>
      </c>
      <c r="M8" s="65" t="s">
        <v>235</v>
      </c>
      <c r="N8" s="65" t="s">
        <v>230</v>
      </c>
      <c r="O8" s="66" t="s">
        <v>232</v>
      </c>
    </row>
    <row r="9" spans="2:15" x14ac:dyDescent="0.2">
      <c r="B9" s="148">
        <v>1</v>
      </c>
      <c r="C9" s="149" t="s">
        <v>312</v>
      </c>
      <c r="D9" s="148">
        <v>1000</v>
      </c>
      <c r="E9" s="150">
        <v>0</v>
      </c>
      <c r="F9" s="151">
        <v>0</v>
      </c>
      <c r="G9" s="151">
        <v>0</v>
      </c>
      <c r="H9" s="151">
        <v>0</v>
      </c>
      <c r="I9" s="152">
        <f>F9+G9+H9</f>
        <v>0</v>
      </c>
      <c r="J9" s="151">
        <v>0</v>
      </c>
      <c r="K9" s="151">
        <v>0</v>
      </c>
      <c r="L9" s="151">
        <v>0</v>
      </c>
      <c r="M9" s="152">
        <f>J9+K9+L9</f>
        <v>0</v>
      </c>
      <c r="N9" s="151">
        <f>+F9-J9</f>
        <v>0</v>
      </c>
      <c r="O9" s="151">
        <f>+I9-M9</f>
        <v>0</v>
      </c>
    </row>
    <row r="10" spans="2:15" x14ac:dyDescent="0.2">
      <c r="B10" s="148">
        <v>2</v>
      </c>
      <c r="C10" s="149" t="s">
        <v>319</v>
      </c>
      <c r="D10" s="148">
        <v>1010</v>
      </c>
      <c r="E10" s="150"/>
      <c r="F10" s="153">
        <v>0</v>
      </c>
      <c r="G10" s="153">
        <v>0</v>
      </c>
      <c r="H10" s="153">
        <v>0</v>
      </c>
      <c r="I10" s="152">
        <f t="shared" ref="I10:I21" si="0">F10+G10+H10</f>
        <v>0</v>
      </c>
      <c r="J10" s="153">
        <v>0</v>
      </c>
      <c r="K10" s="153">
        <v>0</v>
      </c>
      <c r="L10" s="153"/>
      <c r="M10" s="152">
        <f t="shared" ref="M10:M21" si="1">J10+K10+L10</f>
        <v>0</v>
      </c>
      <c r="N10" s="153">
        <f t="shared" ref="N10:N21" si="2">+F10-J10</f>
        <v>0</v>
      </c>
      <c r="O10" s="153">
        <f t="shared" ref="O10:O21" si="3">+I10-M10</f>
        <v>0</v>
      </c>
    </row>
    <row r="11" spans="2:15" x14ac:dyDescent="0.2">
      <c r="B11" s="148">
        <v>3</v>
      </c>
      <c r="C11" s="149" t="s">
        <v>116</v>
      </c>
      <c r="D11" s="148">
        <v>1100</v>
      </c>
      <c r="E11" s="154">
        <v>3.3399999999999999E-2</v>
      </c>
      <c r="F11" s="152">
        <v>3.3016535</v>
      </c>
      <c r="G11" s="152">
        <v>0</v>
      </c>
      <c r="H11" s="152">
        <v>0</v>
      </c>
      <c r="I11" s="152">
        <f t="shared" si="0"/>
        <v>3.3016535</v>
      </c>
      <c r="J11" s="152">
        <v>1.985966388</v>
      </c>
      <c r="K11" s="152">
        <v>4.8194946000000002E-2</v>
      </c>
      <c r="L11" s="152">
        <v>0</v>
      </c>
      <c r="M11" s="152">
        <f t="shared" si="1"/>
        <v>2.0341613340000002</v>
      </c>
      <c r="N11" s="151">
        <f t="shared" si="2"/>
        <v>1.315687112</v>
      </c>
      <c r="O11" s="151">
        <f t="shared" si="3"/>
        <v>1.2674921659999998</v>
      </c>
    </row>
    <row r="12" spans="2:15" x14ac:dyDescent="0.2">
      <c r="B12" s="148">
        <f>+B11+1</f>
        <v>4</v>
      </c>
      <c r="C12" s="149" t="s">
        <v>313</v>
      </c>
      <c r="D12" s="148">
        <v>1200</v>
      </c>
      <c r="E12" s="154">
        <v>5.28E-2</v>
      </c>
      <c r="F12" s="155">
        <v>0.62638389999999999</v>
      </c>
      <c r="G12" s="152">
        <v>0</v>
      </c>
      <c r="H12" s="152">
        <v>0</v>
      </c>
      <c r="I12" s="152">
        <f t="shared" si="0"/>
        <v>0.62638389999999999</v>
      </c>
      <c r="J12" s="155">
        <v>0.56374550999999995</v>
      </c>
      <c r="K12" s="152">
        <v>0</v>
      </c>
      <c r="L12" s="152">
        <v>0</v>
      </c>
      <c r="M12" s="152">
        <f t="shared" si="1"/>
        <v>0.56374550999999995</v>
      </c>
      <c r="N12" s="151">
        <f t="shared" si="2"/>
        <v>6.2638390000000044E-2</v>
      </c>
      <c r="O12" s="151">
        <f t="shared" si="3"/>
        <v>6.2638390000000044E-2</v>
      </c>
    </row>
    <row r="13" spans="2:15" x14ac:dyDescent="0.2">
      <c r="B13" s="148">
        <f t="shared" ref="B13:B21" si="4">+B12+1</f>
        <v>5</v>
      </c>
      <c r="C13" s="149" t="s">
        <v>115</v>
      </c>
      <c r="D13" s="148">
        <v>1300</v>
      </c>
      <c r="E13" s="154">
        <v>5.28E-2</v>
      </c>
      <c r="F13" s="152">
        <v>19.9904856</v>
      </c>
      <c r="G13" s="152">
        <v>0</v>
      </c>
      <c r="H13" s="152">
        <v>0</v>
      </c>
      <c r="I13" s="152">
        <f t="shared" si="0"/>
        <v>19.9904856</v>
      </c>
      <c r="J13" s="152">
        <f>14.430183578-0.04</f>
        <v>14.390183578</v>
      </c>
      <c r="K13" s="152">
        <f>0.220693357-0.14</f>
        <v>8.0693356999999993E-2</v>
      </c>
      <c r="L13" s="152"/>
      <c r="M13" s="152">
        <f t="shared" si="1"/>
        <v>14.470876935</v>
      </c>
      <c r="N13" s="151">
        <f t="shared" si="2"/>
        <v>5.6003020219999993</v>
      </c>
      <c r="O13" s="151">
        <f t="shared" si="3"/>
        <v>5.5196086649999998</v>
      </c>
    </row>
    <row r="14" spans="2:15" x14ac:dyDescent="0.2">
      <c r="B14" s="148">
        <f t="shared" si="4"/>
        <v>6</v>
      </c>
      <c r="C14" s="156" t="s">
        <v>314</v>
      </c>
      <c r="D14" s="148">
        <v>1400</v>
      </c>
      <c r="E14" s="154">
        <v>5.28E-2</v>
      </c>
      <c r="F14" s="152">
        <v>0</v>
      </c>
      <c r="G14" s="152">
        <v>0</v>
      </c>
      <c r="H14" s="152">
        <v>0</v>
      </c>
      <c r="I14" s="152">
        <f t="shared" si="0"/>
        <v>0</v>
      </c>
      <c r="J14" s="152">
        <v>0</v>
      </c>
      <c r="K14" s="152">
        <v>0</v>
      </c>
      <c r="L14" s="152">
        <v>0</v>
      </c>
      <c r="M14" s="152">
        <f t="shared" si="1"/>
        <v>0</v>
      </c>
      <c r="N14" s="151">
        <f t="shared" si="2"/>
        <v>0</v>
      </c>
      <c r="O14" s="151">
        <f t="shared" si="3"/>
        <v>0</v>
      </c>
    </row>
    <row r="15" spans="2:15" x14ac:dyDescent="0.2">
      <c r="B15" s="148">
        <f t="shared" si="4"/>
        <v>7</v>
      </c>
      <c r="C15" s="156" t="s">
        <v>118</v>
      </c>
      <c r="D15" s="148">
        <v>1500</v>
      </c>
      <c r="E15" s="154">
        <v>5.28E-2</v>
      </c>
      <c r="F15" s="152">
        <v>5.3026229999999996</v>
      </c>
      <c r="G15" s="152">
        <v>0</v>
      </c>
      <c r="H15" s="152">
        <v>0</v>
      </c>
      <c r="I15" s="152">
        <f t="shared" si="0"/>
        <v>5.3026229999999996</v>
      </c>
      <c r="J15" s="152">
        <v>2.8779211760000001</v>
      </c>
      <c r="K15" s="152">
        <v>0.137973136</v>
      </c>
      <c r="L15" s="152">
        <v>0</v>
      </c>
      <c r="M15" s="152">
        <f t="shared" si="1"/>
        <v>3.0158943119999999</v>
      </c>
      <c r="N15" s="151">
        <f t="shared" si="2"/>
        <v>2.4247018239999996</v>
      </c>
      <c r="O15" s="151">
        <f t="shared" si="3"/>
        <v>2.2867286879999997</v>
      </c>
    </row>
    <row r="16" spans="2:15" x14ac:dyDescent="0.2">
      <c r="B16" s="148">
        <f t="shared" si="4"/>
        <v>8</v>
      </c>
      <c r="C16" s="156" t="s">
        <v>315</v>
      </c>
      <c r="D16" s="148">
        <v>1600</v>
      </c>
      <c r="E16" s="154">
        <v>3.3399999999999999E-2</v>
      </c>
      <c r="F16" s="152">
        <v>1.2305330999999999</v>
      </c>
      <c r="G16" s="152">
        <v>0</v>
      </c>
      <c r="H16" s="152">
        <v>0</v>
      </c>
      <c r="I16" s="152">
        <f t="shared" si="0"/>
        <v>1.2305330999999999</v>
      </c>
      <c r="J16" s="152">
        <v>0.83438561700000002</v>
      </c>
      <c r="K16" s="152">
        <v>2.158446E-2</v>
      </c>
      <c r="L16" s="152">
        <v>0</v>
      </c>
      <c r="M16" s="152">
        <f t="shared" si="1"/>
        <v>0.85597007700000005</v>
      </c>
      <c r="N16" s="151">
        <f t="shared" si="2"/>
        <v>0.39614748299999991</v>
      </c>
      <c r="O16" s="151">
        <f t="shared" si="3"/>
        <v>0.37456302299999988</v>
      </c>
    </row>
    <row r="17" spans="2:16" x14ac:dyDescent="0.2">
      <c r="B17" s="148">
        <f t="shared" si="4"/>
        <v>9</v>
      </c>
      <c r="C17" s="156" t="s">
        <v>120</v>
      </c>
      <c r="D17" s="148">
        <v>1700</v>
      </c>
      <c r="E17" s="157">
        <v>9.5000000000000001E-2</v>
      </c>
      <c r="F17" s="152">
        <v>0</v>
      </c>
      <c r="G17" s="152">
        <v>0</v>
      </c>
      <c r="H17" s="152">
        <v>0</v>
      </c>
      <c r="I17" s="152">
        <f t="shared" si="0"/>
        <v>0</v>
      </c>
      <c r="J17" s="152">
        <v>0</v>
      </c>
      <c r="K17" s="152">
        <v>0</v>
      </c>
      <c r="L17" s="152">
        <v>0</v>
      </c>
      <c r="M17" s="152">
        <f t="shared" si="1"/>
        <v>0</v>
      </c>
      <c r="N17" s="151">
        <f t="shared" si="2"/>
        <v>0</v>
      </c>
      <c r="O17" s="151">
        <f t="shared" si="3"/>
        <v>0</v>
      </c>
    </row>
    <row r="18" spans="2:16" x14ac:dyDescent="0.2">
      <c r="B18" s="148">
        <f t="shared" si="4"/>
        <v>10</v>
      </c>
      <c r="C18" s="156" t="s">
        <v>316</v>
      </c>
      <c r="D18" s="148">
        <v>1800</v>
      </c>
      <c r="E18" s="154">
        <v>6.3299999999999995E-2</v>
      </c>
      <c r="F18" s="152">
        <v>0.23467119299999997</v>
      </c>
      <c r="G18" s="152">
        <v>0</v>
      </c>
      <c r="H18" s="152">
        <v>0</v>
      </c>
      <c r="I18" s="152">
        <f t="shared" si="0"/>
        <v>0.23467119299999997</v>
      </c>
      <c r="J18" s="152">
        <v>8.7301319000000002E-2</v>
      </c>
      <c r="K18" s="152">
        <v>1.3052566999999999E-2</v>
      </c>
      <c r="L18" s="152">
        <v>0</v>
      </c>
      <c r="M18" s="152">
        <f t="shared" si="1"/>
        <v>0.100353886</v>
      </c>
      <c r="N18" s="151">
        <f t="shared" si="2"/>
        <v>0.14736987399999996</v>
      </c>
      <c r="O18" s="151">
        <f t="shared" si="3"/>
        <v>0.13431730699999997</v>
      </c>
    </row>
    <row r="19" spans="2:16" x14ac:dyDescent="0.2">
      <c r="B19" s="148">
        <f t="shared" si="4"/>
        <v>11</v>
      </c>
      <c r="C19" s="156" t="s">
        <v>317</v>
      </c>
      <c r="D19" s="148">
        <v>1900</v>
      </c>
      <c r="E19" s="158">
        <v>0.15</v>
      </c>
      <c r="F19" s="152">
        <f>0.44</f>
        <v>0.44</v>
      </c>
      <c r="G19" s="152">
        <v>2.9499999999999998E-2</v>
      </c>
      <c r="H19" s="152">
        <v>0</v>
      </c>
      <c r="I19" s="152">
        <f t="shared" si="0"/>
        <v>0.46950000000000003</v>
      </c>
      <c r="J19" s="152">
        <v>0.15523904699999999</v>
      </c>
      <c r="K19" s="152">
        <v>3.1119515E-2</v>
      </c>
      <c r="L19" s="152">
        <v>0</v>
      </c>
      <c r="M19" s="152">
        <f t="shared" si="1"/>
        <v>0.18635856200000001</v>
      </c>
      <c r="N19" s="151">
        <f t="shared" si="2"/>
        <v>0.28476095300000004</v>
      </c>
      <c r="O19" s="151">
        <f t="shared" si="3"/>
        <v>0.28314143800000002</v>
      </c>
    </row>
    <row r="20" spans="2:16" x14ac:dyDescent="0.2">
      <c r="B20" s="148">
        <f t="shared" si="4"/>
        <v>12</v>
      </c>
      <c r="C20" s="149" t="s">
        <v>122</v>
      </c>
      <c r="D20" s="150">
        <v>2100</v>
      </c>
      <c r="E20" s="159">
        <v>6.3299999999999995E-2</v>
      </c>
      <c r="F20" s="152">
        <v>0.10301758499999999</v>
      </c>
      <c r="G20" s="152">
        <v>8.4960000000000001E-3</v>
      </c>
      <c r="H20" s="152">
        <v>0</v>
      </c>
      <c r="I20" s="152">
        <f t="shared" si="0"/>
        <v>0.111513585</v>
      </c>
      <c r="J20" s="152">
        <v>2.5986456000000002E-2</v>
      </c>
      <c r="K20" s="152">
        <v>6.7635459999999996E-3</v>
      </c>
      <c r="L20" s="152">
        <v>0</v>
      </c>
      <c r="M20" s="152">
        <f t="shared" si="1"/>
        <v>3.2750002E-2</v>
      </c>
      <c r="N20" s="151">
        <f t="shared" si="2"/>
        <v>7.703112899999999E-2</v>
      </c>
      <c r="O20" s="151">
        <f t="shared" si="3"/>
        <v>7.8763582999999998E-2</v>
      </c>
    </row>
    <row r="21" spans="2:16" x14ac:dyDescent="0.2">
      <c r="B21" s="148">
        <f t="shared" si="4"/>
        <v>13</v>
      </c>
      <c r="C21" s="149" t="s">
        <v>318</v>
      </c>
      <c r="D21" s="150">
        <v>2200</v>
      </c>
      <c r="E21" s="159">
        <v>0.15</v>
      </c>
      <c r="F21" s="152"/>
      <c r="G21" s="152">
        <v>0</v>
      </c>
      <c r="H21" s="152">
        <v>0</v>
      </c>
      <c r="I21" s="152">
        <f t="shared" si="0"/>
        <v>0</v>
      </c>
      <c r="J21" s="152"/>
      <c r="K21" s="152"/>
      <c r="L21" s="152">
        <v>0</v>
      </c>
      <c r="M21" s="152">
        <f t="shared" si="1"/>
        <v>0</v>
      </c>
      <c r="N21" s="151">
        <f t="shared" si="2"/>
        <v>0</v>
      </c>
      <c r="O21" s="151">
        <f t="shared" si="3"/>
        <v>0</v>
      </c>
    </row>
    <row r="22" spans="2:16" s="50" customFormat="1" ht="15.75" thickBot="1" x14ac:dyDescent="0.25">
      <c r="B22" s="179"/>
      <c r="C22" s="180" t="s">
        <v>127</v>
      </c>
      <c r="D22" s="180"/>
      <c r="E22" s="181">
        <f>IFERROR((K22-L22)/AVERAGE(F22,I22),0)</f>
        <v>1.0880000000000001E-2</v>
      </c>
      <c r="F22" s="182">
        <v>31.23</v>
      </c>
      <c r="G22" s="182">
        <v>0.04</v>
      </c>
      <c r="H22" s="182">
        <v>0</v>
      </c>
      <c r="I22" s="182">
        <v>31.27</v>
      </c>
      <c r="J22" s="183">
        <v>20.92</v>
      </c>
      <c r="K22" s="182">
        <v>0.34</v>
      </c>
      <c r="L22" s="184">
        <v>0</v>
      </c>
      <c r="M22" s="183">
        <v>21.26</v>
      </c>
      <c r="N22" s="182">
        <v>10.309999999999999</v>
      </c>
      <c r="O22" s="182">
        <v>10.009999999999998</v>
      </c>
      <c r="P22" s="178"/>
    </row>
    <row r="23" spans="2:16" x14ac:dyDescent="0.2"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</row>
  </sheetData>
  <mergeCells count="8">
    <mergeCell ref="B6:O6"/>
    <mergeCell ref="B7:B8"/>
    <mergeCell ref="C7:C8"/>
    <mergeCell ref="D7:D8"/>
    <mergeCell ref="E7:E8"/>
    <mergeCell ref="F7:I7"/>
    <mergeCell ref="J7:M7"/>
    <mergeCell ref="N7:O7"/>
  </mergeCells>
  <pageMargins left="0.27" right="0.25" top="0.75" bottom="0.25" header="0.25" footer="0.25"/>
  <pageSetup paperSize="9" scale="75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2"/>
  <sheetViews>
    <sheetView view="pageBreakPreview" zoomScale="90" zoomScaleNormal="98" zoomScaleSheetLayoutView="90" workbookViewId="0">
      <selection activeCell="D7" sqref="F7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193" t="s">
        <v>304</v>
      </c>
      <c r="C2" s="193"/>
      <c r="D2" s="193"/>
      <c r="E2" s="193"/>
      <c r="F2" s="193"/>
    </row>
    <row r="3" spans="2:6" ht="14.25" customHeight="1" x14ac:dyDescent="0.2">
      <c r="B3" s="193" t="s">
        <v>346</v>
      </c>
      <c r="C3" s="193"/>
      <c r="D3" s="193"/>
      <c r="E3" s="193"/>
      <c r="F3" s="193"/>
    </row>
    <row r="4" spans="2:6" ht="14.25" customHeight="1" x14ac:dyDescent="0.2">
      <c r="B4" s="193" t="s">
        <v>246</v>
      </c>
      <c r="C4" s="193"/>
      <c r="D4" s="193"/>
      <c r="E4" s="193"/>
      <c r="F4" s="193"/>
    </row>
    <row r="5" spans="2:6" ht="15" x14ac:dyDescent="0.2">
      <c r="B5" s="35" t="s">
        <v>45</v>
      </c>
      <c r="C5" s="26" t="s">
        <v>247</v>
      </c>
      <c r="D5" s="27"/>
      <c r="E5" s="27"/>
      <c r="F5" s="27"/>
    </row>
    <row r="6" spans="2:6" x14ac:dyDescent="0.2">
      <c r="F6" s="186" t="s">
        <v>351</v>
      </c>
    </row>
    <row r="7" spans="2:6" s="15" customFormat="1" ht="15" customHeight="1" x14ac:dyDescent="0.2">
      <c r="B7" s="197" t="s">
        <v>167</v>
      </c>
      <c r="C7" s="200" t="s">
        <v>18</v>
      </c>
      <c r="D7" s="204" t="s">
        <v>305</v>
      </c>
      <c r="E7" s="205"/>
      <c r="F7" s="206"/>
    </row>
    <row r="8" spans="2:6" s="15" customFormat="1" ht="45" x14ac:dyDescent="0.2">
      <c r="B8" s="198"/>
      <c r="C8" s="200"/>
      <c r="D8" s="17" t="s">
        <v>278</v>
      </c>
      <c r="E8" s="17" t="s">
        <v>209</v>
      </c>
      <c r="F8" s="17" t="s">
        <v>181</v>
      </c>
    </row>
    <row r="9" spans="2:6" s="15" customFormat="1" ht="15" x14ac:dyDescent="0.2">
      <c r="B9" s="199"/>
      <c r="C9" s="201"/>
      <c r="D9" s="17" t="s">
        <v>10</v>
      </c>
      <c r="E9" s="17" t="s">
        <v>12</v>
      </c>
      <c r="F9" s="17" t="s">
        <v>201</v>
      </c>
    </row>
    <row r="10" spans="2:6" x14ac:dyDescent="0.2">
      <c r="B10" s="62">
        <v>1</v>
      </c>
      <c r="C10" s="28" t="s">
        <v>151</v>
      </c>
      <c r="D10" s="2"/>
      <c r="E10" s="120">
        <f>'F4'!F22*0.7</f>
        <v>21.861000000000001</v>
      </c>
      <c r="F10" s="120">
        <f>E10</f>
        <v>21.861000000000001</v>
      </c>
    </row>
    <row r="11" spans="2:6" x14ac:dyDescent="0.2">
      <c r="B11" s="22">
        <f>B10+1</f>
        <v>2</v>
      </c>
      <c r="C11" s="28" t="s">
        <v>152</v>
      </c>
      <c r="D11" s="2"/>
      <c r="E11" s="120">
        <f>'F4'!J22</f>
        <v>20.92</v>
      </c>
      <c r="F11" s="120">
        <f>E11</f>
        <v>20.92</v>
      </c>
    </row>
    <row r="12" spans="2:6" ht="15" x14ac:dyDescent="0.2">
      <c r="B12" s="22">
        <f t="shared" ref="B12:B22" si="0">B11+1</f>
        <v>3</v>
      </c>
      <c r="C12" s="30" t="s">
        <v>153</v>
      </c>
      <c r="D12" s="114">
        <f>D10-D11</f>
        <v>0</v>
      </c>
      <c r="E12" s="114">
        <f>IF((E10-E11)&lt;0,0,(E10-E11))</f>
        <v>0.94099999999999895</v>
      </c>
      <c r="F12" s="114">
        <f>IF((F10-F11)&lt;0,0,(F10-F11))</f>
        <v>0.94099999999999895</v>
      </c>
    </row>
    <row r="13" spans="2:6" ht="28.5" x14ac:dyDescent="0.2">
      <c r="B13" s="22">
        <f t="shared" si="0"/>
        <v>4</v>
      </c>
      <c r="C13" s="70" t="s">
        <v>154</v>
      </c>
      <c r="D13" s="118"/>
      <c r="E13" s="118"/>
      <c r="F13" s="118"/>
    </row>
    <row r="14" spans="2:6" s="34" customFormat="1" ht="28.5" x14ac:dyDescent="0.2">
      <c r="B14" s="22">
        <f t="shared" si="0"/>
        <v>5</v>
      </c>
      <c r="C14" s="39" t="s">
        <v>301</v>
      </c>
      <c r="D14" s="118"/>
      <c r="E14" s="126">
        <f>'F3'!E12*0.7</f>
        <v>2.7999999999999997E-2</v>
      </c>
      <c r="F14" s="126">
        <f>E14</f>
        <v>2.7999999999999997E-2</v>
      </c>
    </row>
    <row r="15" spans="2:6" x14ac:dyDescent="0.2">
      <c r="B15" s="22">
        <f t="shared" si="0"/>
        <v>6</v>
      </c>
      <c r="C15" s="70" t="s">
        <v>159</v>
      </c>
      <c r="D15" s="135">
        <f>'F1'!F12</f>
        <v>0.9</v>
      </c>
      <c r="E15" s="135">
        <f>'F1'!G12</f>
        <v>0.34</v>
      </c>
      <c r="F15" s="135">
        <f>'F1'!H12</f>
        <v>0.34</v>
      </c>
    </row>
    <row r="16" spans="2:6" ht="15" x14ac:dyDescent="0.2">
      <c r="B16" s="22">
        <f t="shared" si="0"/>
        <v>7</v>
      </c>
      <c r="C16" s="28" t="s">
        <v>155</v>
      </c>
      <c r="D16" s="114">
        <f>D12-D13+D14-D15</f>
        <v>-0.9</v>
      </c>
      <c r="E16" s="114">
        <f>IF((E12-E13+E14-E15)&lt;0,0,(E12-E13+E14-E15))</f>
        <v>0.62899999999999889</v>
      </c>
      <c r="F16" s="114">
        <f>IF((F12-F13+F14-F15)&lt;0,0,(F12-F13+F14-F15))</f>
        <v>0.62899999999999889</v>
      </c>
    </row>
    <row r="17" spans="2:6" ht="15" x14ac:dyDescent="0.2">
      <c r="B17" s="22">
        <f t="shared" si="0"/>
        <v>8</v>
      </c>
      <c r="C17" s="28" t="s">
        <v>156</v>
      </c>
      <c r="D17" s="114">
        <f>D10-D13+D14-D15</f>
        <v>-0.9</v>
      </c>
      <c r="E17" s="114">
        <f t="shared" ref="E17:F17" si="1">E10-E13+E14-E15</f>
        <v>21.548999999999999</v>
      </c>
      <c r="F17" s="114">
        <f t="shared" si="1"/>
        <v>21.548999999999999</v>
      </c>
    </row>
    <row r="18" spans="2:6" ht="15" x14ac:dyDescent="0.2">
      <c r="B18" s="22">
        <f t="shared" si="0"/>
        <v>9</v>
      </c>
      <c r="C18" s="28" t="s">
        <v>185</v>
      </c>
      <c r="D18" s="114">
        <f>AVERAGE(D12,D16)</f>
        <v>-0.45</v>
      </c>
      <c r="E18" s="114">
        <f t="shared" ref="E18:F18" si="2">AVERAGE(E12,E16)</f>
        <v>0.78499999999999892</v>
      </c>
      <c r="F18" s="114">
        <f t="shared" si="2"/>
        <v>0.78499999999999892</v>
      </c>
    </row>
    <row r="19" spans="2:6" x14ac:dyDescent="0.2">
      <c r="B19" s="22">
        <f t="shared" si="0"/>
        <v>10</v>
      </c>
      <c r="C19" s="70" t="s">
        <v>184</v>
      </c>
      <c r="D19" s="116"/>
      <c r="E19" s="116">
        <v>0.125</v>
      </c>
      <c r="F19" s="116">
        <f>E19</f>
        <v>0.125</v>
      </c>
    </row>
    <row r="20" spans="2:6" ht="15" x14ac:dyDescent="0.2">
      <c r="B20" s="22">
        <f t="shared" si="0"/>
        <v>11</v>
      </c>
      <c r="C20" s="28" t="s">
        <v>248</v>
      </c>
      <c r="D20" s="114">
        <f>D18*D19</f>
        <v>0</v>
      </c>
      <c r="E20" s="114">
        <f>E18*E19</f>
        <v>9.8124999999999865E-2</v>
      </c>
      <c r="F20" s="114">
        <f>F18*F19</f>
        <v>9.8124999999999865E-2</v>
      </c>
    </row>
    <row r="21" spans="2:6" x14ac:dyDescent="0.2">
      <c r="B21" s="22">
        <f t="shared" si="0"/>
        <v>12</v>
      </c>
      <c r="C21" s="28" t="s">
        <v>251</v>
      </c>
      <c r="D21" s="71"/>
      <c r="E21" s="71"/>
      <c r="F21" s="71"/>
    </row>
    <row r="22" spans="2:6" ht="15" x14ac:dyDescent="0.2">
      <c r="B22" s="22">
        <f t="shared" si="0"/>
        <v>13</v>
      </c>
      <c r="C22" s="28" t="s">
        <v>252</v>
      </c>
      <c r="D22" s="114">
        <v>0</v>
      </c>
      <c r="E22" s="114">
        <f>ROUND(IF((E20+E21)&lt;0,0,(E20+E21)),2)</f>
        <v>0.1</v>
      </c>
      <c r="F22" s="114">
        <f t="shared" ref="F22" si="3">ROUND(IF((F20+F21)&lt;0,0,(F20+F21)),2)</f>
        <v>0.1</v>
      </c>
    </row>
    <row r="23" spans="2:6" x14ac:dyDescent="0.2">
      <c r="B23" s="36"/>
    </row>
    <row r="24" spans="2:6" x14ac:dyDescent="0.2">
      <c r="B24" s="36"/>
      <c r="C24" s="5" t="s">
        <v>211</v>
      </c>
    </row>
    <row r="25" spans="2:6" x14ac:dyDescent="0.2">
      <c r="C25" s="5" t="s">
        <v>302</v>
      </c>
    </row>
    <row r="27" spans="2:6" ht="15" x14ac:dyDescent="0.2">
      <c r="B27" s="35" t="s">
        <v>50</v>
      </c>
      <c r="C27" s="26" t="s">
        <v>249</v>
      </c>
    </row>
    <row r="28" spans="2:6" x14ac:dyDescent="0.2">
      <c r="F28" s="186" t="s">
        <v>351</v>
      </c>
    </row>
    <row r="29" spans="2:6" ht="15" customHeight="1" x14ac:dyDescent="0.2">
      <c r="B29" s="197" t="s">
        <v>167</v>
      </c>
      <c r="C29" s="200" t="s">
        <v>18</v>
      </c>
      <c r="D29" s="68" t="s">
        <v>305</v>
      </c>
      <c r="E29" s="68" t="s">
        <v>306</v>
      </c>
      <c r="F29" s="17" t="s">
        <v>307</v>
      </c>
    </row>
    <row r="30" spans="2:6" ht="15" x14ac:dyDescent="0.2">
      <c r="B30" s="198"/>
      <c r="C30" s="200"/>
      <c r="D30" s="17" t="s">
        <v>209</v>
      </c>
      <c r="E30" s="17" t="s">
        <v>208</v>
      </c>
      <c r="F30" s="17" t="s">
        <v>199</v>
      </c>
    </row>
    <row r="31" spans="2:6" ht="15" x14ac:dyDescent="0.2">
      <c r="B31" s="199"/>
      <c r="C31" s="201"/>
      <c r="D31" s="17" t="s">
        <v>12</v>
      </c>
      <c r="E31" s="17" t="s">
        <v>5</v>
      </c>
      <c r="F31" s="17" t="s">
        <v>8</v>
      </c>
    </row>
    <row r="32" spans="2:6" ht="15" x14ac:dyDescent="0.2">
      <c r="B32" s="22">
        <v>1</v>
      </c>
      <c r="C32" s="40" t="s">
        <v>166</v>
      </c>
      <c r="D32" s="28"/>
      <c r="E32" s="28"/>
      <c r="F32" s="28"/>
    </row>
    <row r="33" spans="2:6" x14ac:dyDescent="0.2">
      <c r="B33" s="28"/>
      <c r="C33" s="28" t="s">
        <v>13</v>
      </c>
      <c r="D33" s="28"/>
      <c r="E33" s="28"/>
      <c r="F33" s="28"/>
    </row>
    <row r="34" spans="2:6" x14ac:dyDescent="0.2">
      <c r="B34" s="28"/>
      <c r="C34" s="28" t="s">
        <v>147</v>
      </c>
      <c r="D34" s="28"/>
      <c r="E34" s="28"/>
      <c r="F34" s="28"/>
    </row>
    <row r="35" spans="2:6" x14ac:dyDescent="0.2">
      <c r="B35" s="28"/>
      <c r="C35" s="28" t="s">
        <v>14</v>
      </c>
      <c r="D35" s="28"/>
      <c r="E35" s="28"/>
      <c r="F35" s="28"/>
    </row>
    <row r="36" spans="2:6" ht="15" x14ac:dyDescent="0.2">
      <c r="B36" s="28"/>
      <c r="C36" s="28" t="s">
        <v>15</v>
      </c>
      <c r="D36" s="112">
        <f>D33+D34-D35</f>
        <v>0</v>
      </c>
      <c r="E36" s="112">
        <f>E33+E34-E35</f>
        <v>0</v>
      </c>
      <c r="F36" s="112">
        <f>F33+F34-F35</f>
        <v>0</v>
      </c>
    </row>
    <row r="37" spans="2:6" ht="15" x14ac:dyDescent="0.2">
      <c r="B37" s="28"/>
      <c r="C37" s="28" t="s">
        <v>186</v>
      </c>
      <c r="D37" s="112">
        <f>AVERAGE(D33,D36)</f>
        <v>0</v>
      </c>
      <c r="E37" s="112">
        <f>AVERAGE(E33,E36)</f>
        <v>0</v>
      </c>
      <c r="F37" s="112">
        <f>AVERAGE(F33,F36)</f>
        <v>0</v>
      </c>
    </row>
    <row r="38" spans="2:6" x14ac:dyDescent="0.2">
      <c r="B38" s="28"/>
      <c r="C38" s="28" t="s">
        <v>16</v>
      </c>
      <c r="D38" s="119"/>
      <c r="E38" s="119"/>
      <c r="F38" s="119"/>
    </row>
    <row r="39" spans="2:6" ht="15" x14ac:dyDescent="0.2">
      <c r="B39" s="28"/>
      <c r="C39" s="28" t="s">
        <v>248</v>
      </c>
      <c r="D39" s="112">
        <f>D37*D38</f>
        <v>0</v>
      </c>
      <c r="E39" s="112">
        <f>E37*E38</f>
        <v>0</v>
      </c>
      <c r="F39" s="112">
        <f>F37*F38</f>
        <v>0</v>
      </c>
    </row>
    <row r="40" spans="2:6" x14ac:dyDescent="0.2">
      <c r="B40" s="28"/>
      <c r="C40" s="28" t="s">
        <v>251</v>
      </c>
      <c r="D40" s="120"/>
      <c r="E40" s="120"/>
      <c r="F40" s="120"/>
    </row>
    <row r="41" spans="2:6" ht="15" x14ac:dyDescent="0.2">
      <c r="B41" s="28"/>
      <c r="C41" s="28" t="s">
        <v>252</v>
      </c>
      <c r="D41" s="112">
        <f>D39+D40</f>
        <v>0</v>
      </c>
      <c r="E41" s="112">
        <f>E39+E40</f>
        <v>0</v>
      </c>
      <c r="F41" s="112">
        <f>F39+F40</f>
        <v>0</v>
      </c>
    </row>
    <row r="42" spans="2:6" ht="15" x14ac:dyDescent="0.2">
      <c r="B42" s="22">
        <v>2</v>
      </c>
      <c r="C42" s="40" t="s">
        <v>165</v>
      </c>
      <c r="D42" s="120"/>
      <c r="E42" s="120"/>
      <c r="F42" s="120"/>
    </row>
    <row r="43" spans="2:6" x14ac:dyDescent="0.2">
      <c r="B43" s="28"/>
      <c r="C43" s="28" t="s">
        <v>13</v>
      </c>
      <c r="D43" s="120"/>
      <c r="E43" s="120"/>
      <c r="F43" s="120"/>
    </row>
    <row r="44" spans="2:6" x14ac:dyDescent="0.2">
      <c r="B44" s="28"/>
      <c r="C44" s="28" t="s">
        <v>147</v>
      </c>
      <c r="D44" s="120"/>
      <c r="E44" s="120"/>
      <c r="F44" s="120"/>
    </row>
    <row r="45" spans="2:6" x14ac:dyDescent="0.2">
      <c r="B45" s="28"/>
      <c r="C45" s="28" t="s">
        <v>14</v>
      </c>
      <c r="D45" s="120"/>
      <c r="E45" s="120"/>
      <c r="F45" s="120"/>
    </row>
    <row r="46" spans="2:6" ht="15" x14ac:dyDescent="0.2">
      <c r="B46" s="28"/>
      <c r="C46" s="28" t="s">
        <v>15</v>
      </c>
      <c r="D46" s="112">
        <f>D43+D44-D45</f>
        <v>0</v>
      </c>
      <c r="E46" s="112">
        <f>E43+E44-E45</f>
        <v>0</v>
      </c>
      <c r="F46" s="112">
        <f>F43+F44-F45</f>
        <v>0</v>
      </c>
    </row>
    <row r="47" spans="2:6" ht="15" x14ac:dyDescent="0.2">
      <c r="B47" s="28"/>
      <c r="C47" s="28" t="s">
        <v>186</v>
      </c>
      <c r="D47" s="112">
        <f>AVERAGE(D43,D46)</f>
        <v>0</v>
      </c>
      <c r="E47" s="112">
        <f>AVERAGE(E43,E46)</f>
        <v>0</v>
      </c>
      <c r="F47" s="112">
        <f>AVERAGE(F43,F46)</f>
        <v>0</v>
      </c>
    </row>
    <row r="48" spans="2:6" x14ac:dyDescent="0.2">
      <c r="B48" s="28"/>
      <c r="C48" s="28" t="s">
        <v>16</v>
      </c>
      <c r="D48" s="119"/>
      <c r="E48" s="119"/>
      <c r="F48" s="119"/>
    </row>
    <row r="49" spans="2:6" ht="15" x14ac:dyDescent="0.2">
      <c r="B49" s="28"/>
      <c r="C49" s="28" t="s">
        <v>248</v>
      </c>
      <c r="D49" s="112">
        <f>D47*D48</f>
        <v>0</v>
      </c>
      <c r="E49" s="112">
        <f>E47*E48</f>
        <v>0</v>
      </c>
      <c r="F49" s="112">
        <f>F47*F48</f>
        <v>0</v>
      </c>
    </row>
    <row r="50" spans="2:6" x14ac:dyDescent="0.2">
      <c r="B50" s="28"/>
      <c r="C50" s="28" t="s">
        <v>251</v>
      </c>
      <c r="D50" s="120"/>
      <c r="E50" s="120"/>
      <c r="F50" s="120"/>
    </row>
    <row r="51" spans="2:6" ht="15" x14ac:dyDescent="0.2">
      <c r="B51" s="28"/>
      <c r="C51" s="28" t="s">
        <v>252</v>
      </c>
      <c r="D51" s="112">
        <f>D49+D50</f>
        <v>0</v>
      </c>
      <c r="E51" s="112">
        <f>E49+E50</f>
        <v>0</v>
      </c>
      <c r="F51" s="112">
        <f>F49+F50</f>
        <v>0</v>
      </c>
    </row>
    <row r="52" spans="2:6" x14ac:dyDescent="0.2">
      <c r="B52" s="28"/>
      <c r="C52" s="28" t="s">
        <v>250</v>
      </c>
      <c r="D52" s="120"/>
      <c r="E52" s="120"/>
      <c r="F52" s="120"/>
    </row>
    <row r="53" spans="2:6" ht="15" x14ac:dyDescent="0.2">
      <c r="B53" s="22"/>
      <c r="C53" s="40" t="s">
        <v>127</v>
      </c>
      <c r="D53" s="120"/>
      <c r="E53" s="120"/>
      <c r="F53" s="120"/>
    </row>
    <row r="54" spans="2:6" ht="15" x14ac:dyDescent="0.2">
      <c r="B54" s="28"/>
      <c r="C54" s="28" t="s">
        <v>13</v>
      </c>
      <c r="D54" s="112">
        <f>D33+D43</f>
        <v>0</v>
      </c>
      <c r="E54" s="112">
        <f t="shared" ref="E54:F56" si="4">E33+E43</f>
        <v>0</v>
      </c>
      <c r="F54" s="112">
        <f t="shared" si="4"/>
        <v>0</v>
      </c>
    </row>
    <row r="55" spans="2:6" ht="15" x14ac:dyDescent="0.2">
      <c r="B55" s="28"/>
      <c r="C55" s="28" t="s">
        <v>147</v>
      </c>
      <c r="D55" s="112">
        <f>D34+D44</f>
        <v>0</v>
      </c>
      <c r="E55" s="112">
        <f t="shared" si="4"/>
        <v>0</v>
      </c>
      <c r="F55" s="112">
        <f t="shared" si="4"/>
        <v>0</v>
      </c>
    </row>
    <row r="56" spans="2:6" ht="15" x14ac:dyDescent="0.2">
      <c r="B56" s="28"/>
      <c r="C56" s="28" t="s">
        <v>14</v>
      </c>
      <c r="D56" s="112">
        <f>D35+D45</f>
        <v>0</v>
      </c>
      <c r="E56" s="112">
        <f t="shared" si="4"/>
        <v>0</v>
      </c>
      <c r="F56" s="112">
        <f t="shared" si="4"/>
        <v>0</v>
      </c>
    </row>
    <row r="57" spans="2:6" ht="15" x14ac:dyDescent="0.2">
      <c r="B57" s="28"/>
      <c r="C57" s="28" t="s">
        <v>15</v>
      </c>
      <c r="D57" s="112">
        <f>D54+D55-D56</f>
        <v>0</v>
      </c>
      <c r="E57" s="112">
        <f>E54+E55-E56</f>
        <v>0</v>
      </c>
      <c r="F57" s="112">
        <f>F54+F55-F56</f>
        <v>0</v>
      </c>
    </row>
    <row r="58" spans="2:6" ht="15" x14ac:dyDescent="0.2">
      <c r="B58" s="28"/>
      <c r="C58" s="28" t="s">
        <v>186</v>
      </c>
      <c r="D58" s="112">
        <f>AVERAGE(D54,D57)</f>
        <v>0</v>
      </c>
      <c r="E58" s="112">
        <f>AVERAGE(E54,E57)</f>
        <v>0</v>
      </c>
      <c r="F58" s="112">
        <f>AVERAGE(F54,F57)</f>
        <v>0</v>
      </c>
    </row>
    <row r="59" spans="2:6" ht="15" x14ac:dyDescent="0.2">
      <c r="B59" s="28"/>
      <c r="C59" s="28" t="s">
        <v>16</v>
      </c>
      <c r="D59" s="136">
        <f>IFERROR(D60/D58,0)</f>
        <v>0</v>
      </c>
      <c r="E59" s="136">
        <f>IFERROR(E60/E58,0)</f>
        <v>0</v>
      </c>
      <c r="F59" s="136">
        <f>IFERROR(F60/F58,0)</f>
        <v>0</v>
      </c>
    </row>
    <row r="60" spans="2:6" ht="15" x14ac:dyDescent="0.2">
      <c r="B60" s="28"/>
      <c r="C60" s="28" t="s">
        <v>248</v>
      </c>
      <c r="D60" s="112">
        <f t="shared" ref="D60:F61" si="5">D39+D49</f>
        <v>0</v>
      </c>
      <c r="E60" s="112">
        <f t="shared" si="5"/>
        <v>0</v>
      </c>
      <c r="F60" s="112">
        <f t="shared" si="5"/>
        <v>0</v>
      </c>
    </row>
    <row r="61" spans="2:6" ht="15" x14ac:dyDescent="0.2">
      <c r="B61" s="28"/>
      <c r="C61" s="28" t="s">
        <v>251</v>
      </c>
      <c r="D61" s="112">
        <f t="shared" si="5"/>
        <v>0</v>
      </c>
      <c r="E61" s="112">
        <f t="shared" si="5"/>
        <v>0</v>
      </c>
      <c r="F61" s="112">
        <f t="shared" si="5"/>
        <v>0</v>
      </c>
    </row>
    <row r="62" spans="2:6" ht="15" x14ac:dyDescent="0.2">
      <c r="B62" s="28"/>
      <c r="C62" s="28" t="s">
        <v>252</v>
      </c>
      <c r="D62" s="112">
        <f>D60+D61</f>
        <v>0</v>
      </c>
      <c r="E62" s="112">
        <f>E60+E61</f>
        <v>0</v>
      </c>
      <c r="F62" s="112">
        <f>F60+F61</f>
        <v>0</v>
      </c>
    </row>
  </sheetData>
  <mergeCells count="8">
    <mergeCell ref="B2:F2"/>
    <mergeCell ref="B3:F3"/>
    <mergeCell ref="B4:F4"/>
    <mergeCell ref="B29:B31"/>
    <mergeCell ref="C29:C31"/>
    <mergeCell ref="B7:B9"/>
    <mergeCell ref="C7:C9"/>
    <mergeCell ref="D7:F7"/>
  </mergeCells>
  <pageMargins left="0.27" right="0.25" top="0.25" bottom="0.25" header="0.25" footer="0.25"/>
  <pageSetup paperSize="9" fitToHeight="0" orientation="landscape" r:id="rId1"/>
  <headerFooter alignWithMargins="0"/>
  <rowBreaks count="1" manualBreakCount="1">
    <brk id="2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3"/>
  <sheetViews>
    <sheetView showGridLines="0" view="pageBreakPreview" zoomScale="90" zoomScaleNormal="95" zoomScaleSheetLayoutView="90" workbookViewId="0">
      <selection activeCell="D7" sqref="F7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193" t="s">
        <v>304</v>
      </c>
      <c r="C2" s="193"/>
      <c r="D2" s="193"/>
      <c r="E2" s="193"/>
      <c r="F2" s="193"/>
    </row>
    <row r="3" spans="2:6" ht="14.25" customHeight="1" x14ac:dyDescent="0.2">
      <c r="B3" s="193" t="s">
        <v>346</v>
      </c>
      <c r="C3" s="193"/>
      <c r="D3" s="193"/>
      <c r="E3" s="193"/>
      <c r="F3" s="193"/>
    </row>
    <row r="4" spans="2:6" ht="14.25" customHeight="1" x14ac:dyDescent="0.2">
      <c r="B4" s="193" t="s">
        <v>253</v>
      </c>
      <c r="C4" s="193"/>
      <c r="D4" s="193"/>
      <c r="E4" s="193"/>
      <c r="F4" s="193"/>
    </row>
    <row r="5" spans="2:6" ht="15" x14ac:dyDescent="0.2">
      <c r="B5" s="35"/>
      <c r="C5" s="26"/>
      <c r="D5" s="27"/>
      <c r="E5" s="27"/>
      <c r="F5" s="27"/>
    </row>
    <row r="6" spans="2:6" x14ac:dyDescent="0.2">
      <c r="F6" s="187" t="s">
        <v>351</v>
      </c>
    </row>
    <row r="7" spans="2:6" s="15" customFormat="1" ht="15" customHeight="1" x14ac:dyDescent="0.2">
      <c r="B7" s="197" t="s">
        <v>167</v>
      </c>
      <c r="C7" s="200" t="s">
        <v>18</v>
      </c>
      <c r="D7" s="204" t="s">
        <v>305</v>
      </c>
      <c r="E7" s="205"/>
      <c r="F7" s="206"/>
    </row>
    <row r="8" spans="2:6" s="15" customFormat="1" ht="45" x14ac:dyDescent="0.2">
      <c r="B8" s="198"/>
      <c r="C8" s="200"/>
      <c r="D8" s="17" t="s">
        <v>278</v>
      </c>
      <c r="E8" s="17" t="s">
        <v>209</v>
      </c>
      <c r="F8" s="17" t="s">
        <v>181</v>
      </c>
    </row>
    <row r="9" spans="2:6" s="15" customFormat="1" ht="15" x14ac:dyDescent="0.2">
      <c r="B9" s="199"/>
      <c r="C9" s="201"/>
      <c r="D9" s="17" t="s">
        <v>10</v>
      </c>
      <c r="E9" s="17" t="s">
        <v>12</v>
      </c>
      <c r="F9" s="17" t="s">
        <v>201</v>
      </c>
    </row>
    <row r="10" spans="2:6" x14ac:dyDescent="0.2">
      <c r="B10" s="62">
        <v>1</v>
      </c>
      <c r="C10" s="28" t="s">
        <v>254</v>
      </c>
      <c r="D10" s="2"/>
      <c r="E10" s="120"/>
      <c r="F10" s="126"/>
    </row>
    <row r="11" spans="2:6" x14ac:dyDescent="0.2">
      <c r="B11" s="22">
        <f>B10+1</f>
        <v>2</v>
      </c>
      <c r="C11" s="28" t="s">
        <v>255</v>
      </c>
      <c r="D11" s="2"/>
      <c r="E11" s="120"/>
      <c r="F11" s="126"/>
    </row>
    <row r="12" spans="2:6" x14ac:dyDescent="0.2">
      <c r="B12" s="22">
        <f t="shared" ref="B12:B20" si="0">B11+1</f>
        <v>3</v>
      </c>
      <c r="C12" s="30" t="s">
        <v>256</v>
      </c>
      <c r="D12" s="2"/>
      <c r="E12" s="120"/>
      <c r="F12" s="126"/>
    </row>
    <row r="13" spans="2:6" x14ac:dyDescent="0.2">
      <c r="B13" s="22">
        <f t="shared" si="0"/>
        <v>4</v>
      </c>
      <c r="C13" s="70" t="s">
        <v>257</v>
      </c>
      <c r="D13" s="118">
        <f>'F2'!E14/12</f>
        <v>0.55333333333333334</v>
      </c>
      <c r="E13" s="118">
        <f>'F2'!F14/12</f>
        <v>0.70166666666666666</v>
      </c>
      <c r="F13" s="142">
        <f>'F2'!G14/12</f>
        <v>0.70166666666666666</v>
      </c>
    </row>
    <row r="14" spans="2:6" s="34" customFormat="1" ht="15" x14ac:dyDescent="0.2">
      <c r="B14" s="22">
        <f t="shared" si="0"/>
        <v>5</v>
      </c>
      <c r="C14" s="39" t="s">
        <v>258</v>
      </c>
      <c r="D14" s="71"/>
      <c r="E14" s="126">
        <f>'F1'!G11*15%</f>
        <v>1.2629999999999999</v>
      </c>
      <c r="F14" s="126">
        <f>'F1'!H11*15%</f>
        <v>1.2629999999999999</v>
      </c>
    </row>
    <row r="15" spans="2:6" x14ac:dyDescent="0.2">
      <c r="B15" s="22">
        <f t="shared" si="0"/>
        <v>6</v>
      </c>
      <c r="C15" s="70" t="s">
        <v>299</v>
      </c>
      <c r="D15" s="118">
        <f>'F1'!F22*45/365</f>
        <v>1.1823287671232876</v>
      </c>
      <c r="E15" s="118">
        <f ca="1">'F1'!G22*2/12</f>
        <v>1.8609368049905071</v>
      </c>
      <c r="F15" s="118">
        <f ca="1">'F1'!H22*2/12</f>
        <v>1.8609368049905071</v>
      </c>
    </row>
    <row r="16" spans="2:6" x14ac:dyDescent="0.2">
      <c r="B16" s="22"/>
      <c r="C16" s="70" t="s">
        <v>259</v>
      </c>
      <c r="D16" s="71"/>
      <c r="E16" s="30"/>
      <c r="F16" s="3"/>
    </row>
    <row r="17" spans="2:6" x14ac:dyDescent="0.2">
      <c r="B17" s="22">
        <f>B15+1</f>
        <v>7</v>
      </c>
      <c r="C17" s="28" t="s">
        <v>300</v>
      </c>
      <c r="D17" s="118"/>
      <c r="E17" s="118"/>
      <c r="F17" s="118"/>
    </row>
    <row r="18" spans="2:6" ht="15" x14ac:dyDescent="0.2">
      <c r="B18" s="22">
        <f t="shared" si="0"/>
        <v>8</v>
      </c>
      <c r="C18" s="28" t="s">
        <v>44</v>
      </c>
      <c r="D18" s="114">
        <f>SUM(D10:D15)-D17</f>
        <v>1.7356621004566208</v>
      </c>
      <c r="E18" s="114">
        <f t="shared" ref="E18:F18" ca="1" si="1">SUM(E10:E15)-E17</f>
        <v>3.8256034716571738</v>
      </c>
      <c r="F18" s="114">
        <f t="shared" ca="1" si="1"/>
        <v>3.8256034716571738</v>
      </c>
    </row>
    <row r="19" spans="2:6" x14ac:dyDescent="0.2">
      <c r="B19" s="22">
        <f t="shared" si="0"/>
        <v>9</v>
      </c>
      <c r="C19" s="28" t="s">
        <v>260</v>
      </c>
      <c r="D19" s="116"/>
      <c r="E19" s="116">
        <v>0.1008</v>
      </c>
      <c r="F19" s="116">
        <v>0.1008</v>
      </c>
    </row>
    <row r="20" spans="2:6" ht="15" x14ac:dyDescent="0.2">
      <c r="B20" s="22">
        <f t="shared" si="0"/>
        <v>10</v>
      </c>
      <c r="C20" s="70" t="s">
        <v>261</v>
      </c>
      <c r="D20" s="114">
        <v>0.28999999999999998</v>
      </c>
      <c r="E20" s="114">
        <f t="shared" ref="E20:F20" ca="1" si="2">E18*E19</f>
        <v>0.38562082994304314</v>
      </c>
      <c r="F20" s="114">
        <f t="shared" ca="1" si="2"/>
        <v>0.38562082994304314</v>
      </c>
    </row>
    <row r="21" spans="2:6" x14ac:dyDescent="0.2">
      <c r="D21" s="160"/>
    </row>
    <row r="22" spans="2:6" x14ac:dyDescent="0.2">
      <c r="B22" s="5" t="s">
        <v>211</v>
      </c>
    </row>
    <row r="23" spans="2:6" ht="30.75" customHeight="1" x14ac:dyDescent="0.2">
      <c r="B23" s="224" t="s">
        <v>353</v>
      </c>
      <c r="C23" s="224"/>
      <c r="D23" s="224"/>
      <c r="E23" s="224"/>
      <c r="F23" s="224"/>
    </row>
  </sheetData>
  <mergeCells count="7">
    <mergeCell ref="B7:B9"/>
    <mergeCell ref="C7:C9"/>
    <mergeCell ref="D7:F7"/>
    <mergeCell ref="B23:F23"/>
    <mergeCell ref="B2:F2"/>
    <mergeCell ref="B3:F3"/>
    <mergeCell ref="B4:F4"/>
  </mergeCells>
  <pageMargins left="0.52" right="0.25" top="1" bottom="1" header="0.25" footer="0.2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4"/>
  <sheetViews>
    <sheetView showGridLines="0" view="pageBreakPreview" zoomScale="90" zoomScaleNormal="96" zoomScaleSheetLayoutView="90" zoomScalePageLayoutView="87" workbookViewId="0">
      <selection activeCell="D7" sqref="F7"/>
    </sheetView>
  </sheetViews>
  <sheetFormatPr defaultColWidth="9.28515625" defaultRowHeight="14.25" x14ac:dyDescent="0.2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2" spans="2:6" ht="14.25" customHeight="1" x14ac:dyDescent="0.2">
      <c r="B2" s="193" t="s">
        <v>304</v>
      </c>
      <c r="C2" s="193"/>
      <c r="D2" s="193"/>
      <c r="E2" s="193"/>
      <c r="F2" s="193"/>
    </row>
    <row r="3" spans="2:6" ht="14.25" customHeight="1" x14ac:dyDescent="0.2">
      <c r="B3" s="193" t="s">
        <v>346</v>
      </c>
      <c r="C3" s="193"/>
      <c r="D3" s="193"/>
      <c r="E3" s="193"/>
      <c r="F3" s="193"/>
    </row>
    <row r="4" spans="2:6" ht="14.25" customHeight="1" x14ac:dyDescent="0.2">
      <c r="B4" s="193" t="s">
        <v>262</v>
      </c>
      <c r="C4" s="193"/>
      <c r="D4" s="193"/>
      <c r="E4" s="193"/>
      <c r="F4" s="193"/>
    </row>
    <row r="5" spans="2:6" ht="15" x14ac:dyDescent="0.2">
      <c r="B5" s="35"/>
      <c r="C5" s="26"/>
      <c r="D5" s="27"/>
      <c r="E5" s="27"/>
      <c r="F5" s="27"/>
    </row>
    <row r="6" spans="2:6" x14ac:dyDescent="0.2">
      <c r="F6" s="187" t="s">
        <v>351</v>
      </c>
    </row>
    <row r="7" spans="2:6" s="15" customFormat="1" ht="15" customHeight="1" x14ac:dyDescent="0.2">
      <c r="B7" s="197" t="s">
        <v>167</v>
      </c>
      <c r="C7" s="200" t="s">
        <v>18</v>
      </c>
      <c r="D7" s="204" t="s">
        <v>305</v>
      </c>
      <c r="E7" s="205"/>
      <c r="F7" s="206"/>
    </row>
    <row r="8" spans="2:6" s="15" customFormat="1" ht="45" x14ac:dyDescent="0.2">
      <c r="B8" s="198"/>
      <c r="C8" s="200"/>
      <c r="D8" s="17" t="s">
        <v>278</v>
      </c>
      <c r="E8" s="17" t="s">
        <v>209</v>
      </c>
      <c r="F8" s="17" t="s">
        <v>181</v>
      </c>
    </row>
    <row r="9" spans="2:6" s="15" customFormat="1" ht="15" x14ac:dyDescent="0.2">
      <c r="B9" s="199"/>
      <c r="C9" s="201"/>
      <c r="D9" s="17" t="s">
        <v>10</v>
      </c>
      <c r="E9" s="17" t="s">
        <v>12</v>
      </c>
      <c r="F9" s="17" t="s">
        <v>201</v>
      </c>
    </row>
    <row r="10" spans="2:6" x14ac:dyDescent="0.2">
      <c r="B10" s="62">
        <v>1</v>
      </c>
      <c r="C10" s="28" t="s">
        <v>194</v>
      </c>
      <c r="D10" s="129"/>
      <c r="E10" s="41">
        <f>'F4'!F22*0.3</f>
        <v>9.3689999999999998</v>
      </c>
      <c r="F10" s="41">
        <f>E10</f>
        <v>9.3689999999999998</v>
      </c>
    </row>
    <row r="11" spans="2:6" x14ac:dyDescent="0.2">
      <c r="B11" s="22">
        <f>B10+1</f>
        <v>2</v>
      </c>
      <c r="C11" s="28" t="s">
        <v>195</v>
      </c>
      <c r="D11" s="129"/>
      <c r="E11" s="126">
        <f>F3.1!H12</f>
        <v>0.04</v>
      </c>
      <c r="F11" s="126">
        <f>E11</f>
        <v>0.04</v>
      </c>
    </row>
    <row r="12" spans="2:6" x14ac:dyDescent="0.2">
      <c r="B12" s="22">
        <f t="shared" ref="B12:B22" si="0">B11+1</f>
        <v>3</v>
      </c>
      <c r="C12" s="30" t="s">
        <v>19</v>
      </c>
      <c r="D12" s="131">
        <f>D11*25%</f>
        <v>0</v>
      </c>
      <c r="E12" s="131">
        <f>E11*30%</f>
        <v>1.2E-2</v>
      </c>
      <c r="F12" s="131">
        <f>E12</f>
        <v>1.2E-2</v>
      </c>
    </row>
    <row r="13" spans="2:6" ht="28.5" x14ac:dyDescent="0.2">
      <c r="B13" s="22">
        <f t="shared" si="0"/>
        <v>4</v>
      </c>
      <c r="C13" s="70" t="s">
        <v>20</v>
      </c>
      <c r="D13" s="133"/>
      <c r="E13" s="41"/>
      <c r="F13" s="129"/>
    </row>
    <row r="14" spans="2:6" s="34" customFormat="1" ht="15" x14ac:dyDescent="0.2">
      <c r="B14" s="22">
        <f t="shared" si="0"/>
        <v>5</v>
      </c>
      <c r="C14" s="39" t="s">
        <v>21</v>
      </c>
      <c r="D14" s="134">
        <f>D10+D12-D13</f>
        <v>0</v>
      </c>
      <c r="E14" s="134">
        <f t="shared" ref="E14" si="1">E10+E12-E13</f>
        <v>9.3810000000000002</v>
      </c>
      <c r="F14" s="134">
        <f>F10+F12-F13</f>
        <v>9.3810000000000002</v>
      </c>
    </row>
    <row r="15" spans="2:6" s="34" customFormat="1" ht="15" x14ac:dyDescent="0.2">
      <c r="B15" s="22"/>
      <c r="C15" s="72" t="s">
        <v>263</v>
      </c>
      <c r="D15" s="71"/>
      <c r="E15" s="30"/>
      <c r="F15" s="3"/>
    </row>
    <row r="16" spans="2:6" s="34" customFormat="1" ht="15" x14ac:dyDescent="0.2">
      <c r="B16" s="22">
        <f>B14+1</f>
        <v>6</v>
      </c>
      <c r="C16" s="39" t="s">
        <v>264</v>
      </c>
      <c r="D16" s="115">
        <v>0.155</v>
      </c>
      <c r="E16" s="115">
        <v>0.155</v>
      </c>
      <c r="F16" s="115">
        <v>0.155</v>
      </c>
    </row>
    <row r="17" spans="2:6" s="34" customFormat="1" ht="15" x14ac:dyDescent="0.2">
      <c r="B17" s="22">
        <f>B16+1</f>
        <v>7</v>
      </c>
      <c r="C17" s="39" t="s">
        <v>265</v>
      </c>
      <c r="D17" s="116">
        <v>0.17782000000000001</v>
      </c>
      <c r="E17" s="116">
        <v>0.25168000000000001</v>
      </c>
      <c r="F17" s="116">
        <v>0.25168000000000001</v>
      </c>
    </row>
    <row r="18" spans="2:6" s="34" customFormat="1" ht="15" x14ac:dyDescent="0.2">
      <c r="B18" s="22">
        <f>B17+1</f>
        <v>8</v>
      </c>
      <c r="C18" s="31" t="s">
        <v>263</v>
      </c>
      <c r="D18" s="117">
        <f>D16/(1-D17)</f>
        <v>0.18852319443430879</v>
      </c>
      <c r="E18" s="117">
        <f t="shared" ref="E18:F18" si="2">E16/(1-E17)</f>
        <v>0.20713063929869574</v>
      </c>
      <c r="F18" s="117">
        <f t="shared" si="2"/>
        <v>0.20713063929869574</v>
      </c>
    </row>
    <row r="19" spans="2:6" ht="15" x14ac:dyDescent="0.2">
      <c r="B19" s="22"/>
      <c r="C19" s="72" t="s">
        <v>157</v>
      </c>
      <c r="D19" s="113"/>
      <c r="E19" s="30"/>
      <c r="F19" s="3"/>
    </row>
    <row r="20" spans="2:6" ht="17.25" customHeight="1" x14ac:dyDescent="0.2">
      <c r="B20" s="22">
        <f>B18+1</f>
        <v>9</v>
      </c>
      <c r="C20" s="70" t="s">
        <v>196</v>
      </c>
      <c r="D20" s="114">
        <f>D10*D18</f>
        <v>0</v>
      </c>
      <c r="E20" s="114">
        <f t="shared" ref="E20:F20" si="3">E10*E18</f>
        <v>1.9406069595894804</v>
      </c>
      <c r="F20" s="114">
        <f t="shared" si="3"/>
        <v>1.9406069595894804</v>
      </c>
    </row>
    <row r="21" spans="2:6" ht="18.75" customHeight="1" x14ac:dyDescent="0.2">
      <c r="B21" s="22">
        <f t="shared" si="0"/>
        <v>10</v>
      </c>
      <c r="C21" s="70" t="s">
        <v>197</v>
      </c>
      <c r="D21" s="114">
        <f>AVERAGE(D10,D14)*D18-D20</f>
        <v>0</v>
      </c>
      <c r="E21" s="114">
        <f t="shared" ref="E21:F21" si="4">AVERAGE(E10,E14)*E18-E20</f>
        <v>1.2427838357922383E-3</v>
      </c>
      <c r="F21" s="114">
        <f t="shared" si="4"/>
        <v>1.2427838357922383E-3</v>
      </c>
    </row>
    <row r="22" spans="2:6" ht="15" x14ac:dyDescent="0.2">
      <c r="B22" s="22">
        <f t="shared" si="0"/>
        <v>11</v>
      </c>
      <c r="C22" s="40" t="s">
        <v>158</v>
      </c>
      <c r="D22" s="114">
        <v>1.76</v>
      </c>
      <c r="E22" s="114">
        <f>ROUND((E20+E21),2)</f>
        <v>1.94</v>
      </c>
      <c r="F22" s="114">
        <f>ROUND((F20+F21),2)</f>
        <v>1.94</v>
      </c>
    </row>
    <row r="23" spans="2:6" x14ac:dyDescent="0.2">
      <c r="C23" s="5" t="s">
        <v>211</v>
      </c>
    </row>
    <row r="24" spans="2:6" x14ac:dyDescent="0.2">
      <c r="C24" s="5" t="s">
        <v>302</v>
      </c>
    </row>
  </sheetData>
  <mergeCells count="6">
    <mergeCell ref="B2:F2"/>
    <mergeCell ref="B7:B9"/>
    <mergeCell ref="C7:C9"/>
    <mergeCell ref="D7:F7"/>
    <mergeCell ref="B4:F4"/>
    <mergeCell ref="B3:F3"/>
  </mergeCells>
  <pageMargins left="0.52" right="0.25" top="1" bottom="1" header="0.25" footer="0.2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4"/>
  <sheetViews>
    <sheetView showGridLines="0" tabSelected="1" view="pageBreakPreview" zoomScale="90" zoomScaleNormal="112" zoomScaleSheetLayoutView="90" workbookViewId="0">
      <selection activeCell="D7" sqref="D7:F7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9" width="11.7109375" style="5" bestFit="1" customWidth="1"/>
    <col min="10" max="16384" width="9.28515625" style="5"/>
  </cols>
  <sheetData>
    <row r="1" spans="2:6" ht="15" x14ac:dyDescent="0.2">
      <c r="B1" s="26"/>
    </row>
    <row r="3" spans="2:6" ht="14.25" customHeight="1" x14ac:dyDescent="0.2">
      <c r="B3" s="193" t="s">
        <v>304</v>
      </c>
      <c r="C3" s="193"/>
      <c r="D3" s="193"/>
      <c r="E3" s="193"/>
      <c r="F3" s="193"/>
    </row>
    <row r="4" spans="2:6" ht="14.25" customHeight="1" x14ac:dyDescent="0.2">
      <c r="B4" s="193" t="s">
        <v>346</v>
      </c>
      <c r="C4" s="193"/>
      <c r="D4" s="193"/>
      <c r="E4" s="193"/>
      <c r="F4" s="193"/>
    </row>
    <row r="5" spans="2:6" ht="15" x14ac:dyDescent="0.2">
      <c r="B5" s="193" t="s">
        <v>266</v>
      </c>
      <c r="C5" s="193"/>
      <c r="D5" s="193"/>
      <c r="E5" s="193"/>
      <c r="F5" s="193"/>
    </row>
    <row r="6" spans="2:6" x14ac:dyDescent="0.2">
      <c r="F6" s="187" t="s">
        <v>351</v>
      </c>
    </row>
    <row r="7" spans="2:6" s="15" customFormat="1" ht="15" customHeight="1" x14ac:dyDescent="0.2">
      <c r="B7" s="197" t="s">
        <v>167</v>
      </c>
      <c r="C7" s="200" t="s">
        <v>18</v>
      </c>
      <c r="D7" s="204" t="s">
        <v>305</v>
      </c>
      <c r="E7" s="205"/>
      <c r="F7" s="206"/>
    </row>
    <row r="8" spans="2:6" s="15" customFormat="1" ht="30" x14ac:dyDescent="0.2">
      <c r="B8" s="198"/>
      <c r="C8" s="200"/>
      <c r="D8" s="17" t="s">
        <v>278</v>
      </c>
      <c r="E8" s="17" t="s">
        <v>209</v>
      </c>
      <c r="F8" s="17" t="s">
        <v>181</v>
      </c>
    </row>
    <row r="9" spans="2:6" s="15" customFormat="1" ht="15" x14ac:dyDescent="0.2">
      <c r="B9" s="199"/>
      <c r="C9" s="201"/>
      <c r="D9" s="17" t="s">
        <v>10</v>
      </c>
      <c r="E9" s="17" t="s">
        <v>12</v>
      </c>
      <c r="F9" s="17" t="s">
        <v>201</v>
      </c>
    </row>
    <row r="10" spans="2:6" s="15" customFormat="1" ht="15" x14ac:dyDescent="0.2">
      <c r="B10" s="62">
        <v>1</v>
      </c>
      <c r="C10" s="161" t="s">
        <v>320</v>
      </c>
      <c r="D10" s="162"/>
      <c r="E10" s="174">
        <v>4.1286023995992576E-3</v>
      </c>
      <c r="F10" s="177">
        <v>4.1286023995992576E-3</v>
      </c>
    </row>
    <row r="11" spans="2:6" s="15" customFormat="1" ht="15" x14ac:dyDescent="0.2">
      <c r="B11" s="62">
        <f>B10+1</f>
        <v>2</v>
      </c>
      <c r="C11" s="161" t="s">
        <v>321</v>
      </c>
      <c r="D11" s="162"/>
      <c r="E11" s="174">
        <v>0</v>
      </c>
      <c r="F11" s="177">
        <v>0</v>
      </c>
    </row>
    <row r="12" spans="2:6" s="15" customFormat="1" ht="15" x14ac:dyDescent="0.2">
      <c r="B12" s="62">
        <f t="shared" ref="B12:B31" si="0">B11+1</f>
        <v>3</v>
      </c>
      <c r="C12" s="161" t="s">
        <v>322</v>
      </c>
      <c r="D12" s="162"/>
      <c r="E12" s="174">
        <v>0</v>
      </c>
      <c r="F12" s="177">
        <v>0</v>
      </c>
    </row>
    <row r="13" spans="2:6" s="15" customFormat="1" ht="15" x14ac:dyDescent="0.2">
      <c r="B13" s="62">
        <f t="shared" si="0"/>
        <v>4</v>
      </c>
      <c r="C13" s="161" t="s">
        <v>323</v>
      </c>
      <c r="D13" s="162"/>
      <c r="E13" s="174">
        <v>6.212780155210644E-3</v>
      </c>
      <c r="F13" s="177">
        <v>6.212780155210644E-3</v>
      </c>
    </row>
    <row r="14" spans="2:6" s="15" customFormat="1" ht="15" x14ac:dyDescent="0.2">
      <c r="B14" s="62">
        <f t="shared" si="0"/>
        <v>5</v>
      </c>
      <c r="C14" s="161" t="s">
        <v>324</v>
      </c>
      <c r="D14" s="163"/>
      <c r="E14" s="174">
        <v>0</v>
      </c>
      <c r="F14" s="177">
        <v>0</v>
      </c>
    </row>
    <row r="15" spans="2:6" s="15" customFormat="1" ht="15" x14ac:dyDescent="0.2">
      <c r="B15" s="62">
        <f t="shared" si="0"/>
        <v>6</v>
      </c>
      <c r="C15" s="161" t="s">
        <v>325</v>
      </c>
      <c r="D15" s="163"/>
      <c r="E15" s="174">
        <v>0</v>
      </c>
      <c r="F15" s="177">
        <v>0</v>
      </c>
    </row>
    <row r="16" spans="2:6" s="15" customFormat="1" ht="15" x14ac:dyDescent="0.2">
      <c r="B16" s="62">
        <f t="shared" si="0"/>
        <v>7</v>
      </c>
      <c r="C16" s="161" t="s">
        <v>326</v>
      </c>
      <c r="D16" s="163"/>
      <c r="E16" s="174">
        <v>5.6592720920213937E-4</v>
      </c>
      <c r="F16" s="177">
        <v>5.6592720920213937E-4</v>
      </c>
    </row>
    <row r="17" spans="2:6" s="15" customFormat="1" ht="15" x14ac:dyDescent="0.2">
      <c r="B17" s="62">
        <f t="shared" si="0"/>
        <v>8</v>
      </c>
      <c r="C17" s="161" t="s">
        <v>327</v>
      </c>
      <c r="D17" s="163"/>
      <c r="E17" s="174">
        <v>1.6620045405892571E-4</v>
      </c>
      <c r="F17" s="177">
        <v>1.6620045405892571E-4</v>
      </c>
    </row>
    <row r="18" spans="2:6" s="15" customFormat="1" ht="15" x14ac:dyDescent="0.2">
      <c r="B18" s="62">
        <f t="shared" si="0"/>
        <v>9</v>
      </c>
      <c r="C18" s="161" t="s">
        <v>328</v>
      </c>
      <c r="D18" s="163"/>
      <c r="E18" s="174">
        <v>3.1404876212865864E-3</v>
      </c>
      <c r="F18" s="177">
        <v>3.1404876212865864E-3</v>
      </c>
    </row>
    <row r="19" spans="2:6" s="15" customFormat="1" ht="15" x14ac:dyDescent="0.2">
      <c r="B19" s="62">
        <f t="shared" si="0"/>
        <v>10</v>
      </c>
      <c r="C19" s="161" t="s">
        <v>329</v>
      </c>
      <c r="D19" s="163"/>
      <c r="E19" s="174">
        <v>2.530353879092751E-4</v>
      </c>
      <c r="F19" s="177">
        <v>2.530353879092751E-4</v>
      </c>
    </row>
    <row r="20" spans="2:6" s="15" customFormat="1" ht="15" x14ac:dyDescent="0.2">
      <c r="B20" s="62">
        <f t="shared" si="0"/>
        <v>11</v>
      </c>
      <c r="C20" s="161" t="s">
        <v>330</v>
      </c>
      <c r="D20" s="163"/>
      <c r="E20" s="174">
        <v>5.6750062017559813E-4</v>
      </c>
      <c r="F20" s="177">
        <v>5.6750062017559813E-4</v>
      </c>
    </row>
    <row r="21" spans="2:6" s="15" customFormat="1" ht="15" x14ac:dyDescent="0.2">
      <c r="B21" s="62">
        <f t="shared" si="0"/>
        <v>12</v>
      </c>
      <c r="C21" s="161" t="s">
        <v>331</v>
      </c>
      <c r="D21" s="163"/>
      <c r="E21" s="174">
        <v>7.4316259764621419E-5</v>
      </c>
      <c r="F21" s="177">
        <v>7.4316259764621419E-5</v>
      </c>
    </row>
    <row r="22" spans="2:6" x14ac:dyDescent="0.2">
      <c r="B22" s="62">
        <f t="shared" si="0"/>
        <v>13</v>
      </c>
      <c r="C22" s="161" t="s">
        <v>332</v>
      </c>
      <c r="D22" s="163"/>
      <c r="E22" s="174">
        <v>3.5111140242765899E-3</v>
      </c>
      <c r="F22" s="126">
        <v>3.5111140242765899E-3</v>
      </c>
    </row>
    <row r="23" spans="2:6" x14ac:dyDescent="0.2">
      <c r="B23" s="62">
        <f t="shared" si="0"/>
        <v>14</v>
      </c>
      <c r="C23" s="161" t="s">
        <v>333</v>
      </c>
      <c r="D23" s="163"/>
      <c r="E23" s="174">
        <v>0</v>
      </c>
      <c r="F23" s="126">
        <v>0</v>
      </c>
    </row>
    <row r="24" spans="2:6" x14ac:dyDescent="0.2">
      <c r="B24" s="62">
        <f t="shared" si="0"/>
        <v>15</v>
      </c>
      <c r="C24" s="161" t="s">
        <v>334</v>
      </c>
      <c r="D24" s="163"/>
      <c r="E24" s="174">
        <v>0</v>
      </c>
      <c r="F24" s="126">
        <v>0</v>
      </c>
    </row>
    <row r="25" spans="2:6" x14ac:dyDescent="0.2">
      <c r="B25" s="62">
        <f t="shared" si="0"/>
        <v>16</v>
      </c>
      <c r="C25" s="161" t="s">
        <v>335</v>
      </c>
      <c r="D25" s="163"/>
      <c r="E25" s="174">
        <v>9.3976529927867182E-5</v>
      </c>
      <c r="F25" s="126">
        <v>9.3976529927867182E-5</v>
      </c>
    </row>
    <row r="26" spans="2:6" ht="15.75" customHeight="1" x14ac:dyDescent="0.2">
      <c r="B26" s="62">
        <f t="shared" si="0"/>
        <v>17</v>
      </c>
      <c r="C26" s="161" t="s">
        <v>336</v>
      </c>
      <c r="D26" s="164">
        <f>SUM(D10:D21)</f>
        <v>0</v>
      </c>
      <c r="E26" s="174">
        <v>3.1528487061428525E-6</v>
      </c>
      <c r="F26" s="131">
        <v>3.1528487061428525E-6</v>
      </c>
    </row>
    <row r="27" spans="2:6" s="34" customFormat="1" ht="15" x14ac:dyDescent="0.2">
      <c r="B27" s="62">
        <f t="shared" si="0"/>
        <v>18</v>
      </c>
      <c r="C27" s="161" t="s">
        <v>337</v>
      </c>
      <c r="D27" s="164"/>
      <c r="E27" s="174">
        <v>1.6723104045747374E-3</v>
      </c>
      <c r="F27" s="131">
        <v>1.6723104045747374E-3</v>
      </c>
    </row>
    <row r="28" spans="2:6" s="34" customFormat="1" ht="15" x14ac:dyDescent="0.2">
      <c r="B28" s="62">
        <f t="shared" si="0"/>
        <v>19</v>
      </c>
      <c r="C28" s="161" t="s">
        <v>338</v>
      </c>
      <c r="D28" s="164"/>
      <c r="E28" s="174">
        <v>1.8356412541671422E-5</v>
      </c>
      <c r="F28" s="131">
        <v>1.8356412541671422E-5</v>
      </c>
    </row>
    <row r="29" spans="2:6" s="34" customFormat="1" ht="12.75" customHeight="1" x14ac:dyDescent="0.2">
      <c r="B29" s="62">
        <f t="shared" si="0"/>
        <v>20</v>
      </c>
      <c r="C29" s="161" t="s">
        <v>339</v>
      </c>
      <c r="D29" s="164"/>
      <c r="E29" s="174">
        <v>2.3290656559453023E-4</v>
      </c>
      <c r="F29" s="131">
        <v>2.3290656559453023E-4</v>
      </c>
    </row>
    <row r="30" spans="2:6" s="34" customFormat="1" ht="15" x14ac:dyDescent="0.2">
      <c r="B30" s="62">
        <f t="shared" si="0"/>
        <v>21</v>
      </c>
      <c r="C30" s="161" t="s">
        <v>340</v>
      </c>
      <c r="D30" s="164"/>
      <c r="E30" s="174">
        <v>1.9744620641972527E-4</v>
      </c>
      <c r="F30" s="131">
        <v>1.9744620641972527E-4</v>
      </c>
    </row>
    <row r="31" spans="2:6" s="34" customFormat="1" ht="15" x14ac:dyDescent="0.2">
      <c r="B31" s="62">
        <f t="shared" si="0"/>
        <v>22</v>
      </c>
      <c r="C31" s="161" t="s">
        <v>341</v>
      </c>
      <c r="D31" s="164"/>
      <c r="E31" s="174">
        <v>0</v>
      </c>
      <c r="F31" s="131">
        <v>0</v>
      </c>
    </row>
    <row r="32" spans="2:6" x14ac:dyDescent="0.2">
      <c r="B32" s="22"/>
      <c r="C32" s="70"/>
      <c r="D32" s="71"/>
      <c r="E32" s="30"/>
      <c r="F32" s="3"/>
    </row>
    <row r="33" spans="2:6" x14ac:dyDescent="0.2">
      <c r="B33" s="22"/>
      <c r="C33" s="70"/>
      <c r="D33" s="71"/>
      <c r="E33" s="30"/>
      <c r="F33" s="3"/>
    </row>
    <row r="34" spans="2:6" ht="15" x14ac:dyDescent="0.2">
      <c r="B34" s="22"/>
      <c r="C34" s="32" t="s">
        <v>127</v>
      </c>
      <c r="D34" s="114">
        <f>ROUND(SUM(D10:D33),2)</f>
        <v>0</v>
      </c>
      <c r="E34" s="114">
        <f t="shared" ref="E34:F34" si="1">ROUND(SUM(E10:E33),2)</f>
        <v>0.02</v>
      </c>
      <c r="F34" s="114">
        <f t="shared" si="1"/>
        <v>0.02</v>
      </c>
    </row>
  </sheetData>
  <mergeCells count="6">
    <mergeCell ref="B7:B9"/>
    <mergeCell ref="C7:C9"/>
    <mergeCell ref="D7:F7"/>
    <mergeCell ref="B3:F3"/>
    <mergeCell ref="B4:F4"/>
    <mergeCell ref="B5:F5"/>
  </mergeCells>
  <pageMargins left="1.52" right="0.25" top="0.25" bottom="1" header="0.25" footer="0.2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1"/>
  <sheetViews>
    <sheetView showGridLines="0" view="pageBreakPreview" zoomScale="87" zoomScaleNormal="93" zoomScaleSheetLayoutView="87" workbookViewId="0">
      <selection activeCell="D7" sqref="F7"/>
    </sheetView>
  </sheetViews>
  <sheetFormatPr defaultColWidth="9.28515625" defaultRowHeight="14.25" x14ac:dyDescent="0.2"/>
  <cols>
    <col min="1" max="1" width="3.28515625" style="5" customWidth="1"/>
    <col min="2" max="2" width="14.85546875" style="5" customWidth="1"/>
    <col min="3" max="3" width="34.85546875" style="5" customWidth="1"/>
    <col min="4" max="4" width="31.85546875" style="5" customWidth="1"/>
    <col min="5" max="16384" width="9.28515625" style="5"/>
  </cols>
  <sheetData>
    <row r="2" spans="2:4" ht="15" x14ac:dyDescent="0.2">
      <c r="B2" s="193" t="s">
        <v>304</v>
      </c>
      <c r="C2" s="193"/>
      <c r="D2" s="193"/>
    </row>
    <row r="3" spans="2:4" ht="15" x14ac:dyDescent="0.2">
      <c r="B3" s="193" t="s">
        <v>346</v>
      </c>
      <c r="C3" s="193"/>
      <c r="D3" s="193"/>
    </row>
    <row r="4" spans="2:4" ht="14.25" customHeight="1" x14ac:dyDescent="0.2">
      <c r="B4" s="193" t="s">
        <v>268</v>
      </c>
      <c r="C4" s="193"/>
      <c r="D4" s="193"/>
    </row>
    <row r="5" spans="2:4" ht="15" x14ac:dyDescent="0.2">
      <c r="B5" s="26"/>
      <c r="C5" s="74"/>
      <c r="D5" s="75"/>
    </row>
    <row r="6" spans="2:4" ht="15" customHeight="1" x14ac:dyDescent="0.2">
      <c r="B6" s="208" t="s">
        <v>2</v>
      </c>
      <c r="C6" s="213" t="s">
        <v>18</v>
      </c>
      <c r="D6" s="69" t="s">
        <v>305</v>
      </c>
    </row>
    <row r="7" spans="2:4" ht="15" x14ac:dyDescent="0.2">
      <c r="B7" s="208"/>
      <c r="C7" s="213"/>
      <c r="D7" s="17" t="s">
        <v>267</v>
      </c>
    </row>
    <row r="8" spans="2:4" ht="24.75" customHeight="1" x14ac:dyDescent="0.2">
      <c r="B8" s="225"/>
      <c r="C8" s="226"/>
      <c r="D8" s="17" t="s">
        <v>3</v>
      </c>
    </row>
    <row r="9" spans="2:4" ht="15" x14ac:dyDescent="0.2">
      <c r="B9" s="76">
        <v>1</v>
      </c>
      <c r="C9" s="77" t="s">
        <v>144</v>
      </c>
      <c r="D9" s="73"/>
    </row>
    <row r="10" spans="2:4" s="34" customFormat="1" ht="15" x14ac:dyDescent="0.2">
      <c r="B10" s="78" t="s">
        <v>45</v>
      </c>
      <c r="C10" s="40" t="s">
        <v>46</v>
      </c>
      <c r="D10" s="79"/>
    </row>
    <row r="11" spans="2:4" s="34" customFormat="1" ht="15" x14ac:dyDescent="0.2">
      <c r="B11" s="80"/>
      <c r="C11" s="30" t="s">
        <v>47</v>
      </c>
      <c r="D11" s="79"/>
    </row>
    <row r="12" spans="2:4" s="34" customFormat="1" ht="15" x14ac:dyDescent="0.2">
      <c r="B12" s="80"/>
      <c r="C12" s="30" t="s">
        <v>48</v>
      </c>
      <c r="D12" s="79"/>
    </row>
    <row r="13" spans="2:4" s="34" customFormat="1" ht="15" x14ac:dyDescent="0.2">
      <c r="B13" s="80"/>
      <c r="C13" s="30" t="s">
        <v>49</v>
      </c>
      <c r="D13" s="79"/>
    </row>
    <row r="14" spans="2:4" s="34" customFormat="1" ht="30" x14ac:dyDescent="0.2">
      <c r="B14" s="80"/>
      <c r="C14" s="81"/>
      <c r="D14" s="188" t="s">
        <v>350</v>
      </c>
    </row>
    <row r="15" spans="2:4" s="34" customFormat="1" ht="15" x14ac:dyDescent="0.2">
      <c r="B15" s="78" t="s">
        <v>50</v>
      </c>
      <c r="C15" s="82" t="s">
        <v>51</v>
      </c>
      <c r="D15" s="79"/>
    </row>
    <row r="16" spans="2:4" s="34" customFormat="1" ht="15" x14ac:dyDescent="0.2">
      <c r="B16" s="80"/>
      <c r="C16" s="30" t="s">
        <v>47</v>
      </c>
      <c r="D16" s="79"/>
    </row>
    <row r="17" spans="2:4" x14ac:dyDescent="0.2">
      <c r="B17" s="80"/>
      <c r="C17" s="30" t="s">
        <v>48</v>
      </c>
      <c r="D17" s="79"/>
    </row>
    <row r="18" spans="2:4" x14ac:dyDescent="0.2">
      <c r="B18" s="83"/>
      <c r="C18" s="30" t="s">
        <v>52</v>
      </c>
      <c r="D18" s="79"/>
    </row>
    <row r="19" spans="2:4" ht="15" x14ac:dyDescent="0.2">
      <c r="B19" s="83"/>
      <c r="C19" s="82"/>
      <c r="D19" s="79"/>
    </row>
    <row r="20" spans="2:4" ht="17.25" customHeight="1" x14ac:dyDescent="0.2">
      <c r="B20" s="78">
        <v>2</v>
      </c>
      <c r="C20" s="77" t="s">
        <v>145</v>
      </c>
      <c r="D20" s="79"/>
    </row>
    <row r="21" spans="2:4" ht="17.25" customHeight="1" x14ac:dyDescent="0.2">
      <c r="B21" s="78"/>
      <c r="C21" s="77" t="s">
        <v>53</v>
      </c>
      <c r="D21" s="79"/>
    </row>
    <row r="22" spans="2:4" ht="17.25" customHeight="1" x14ac:dyDescent="0.2">
      <c r="B22" s="78"/>
      <c r="C22" s="77" t="s">
        <v>53</v>
      </c>
      <c r="D22" s="79"/>
    </row>
    <row r="23" spans="2:4" ht="15" x14ac:dyDescent="0.2">
      <c r="B23" s="80"/>
      <c r="C23" s="82" t="s">
        <v>54</v>
      </c>
      <c r="D23" s="79"/>
    </row>
    <row r="25" spans="2:4" ht="15" x14ac:dyDescent="0.2">
      <c r="B25" s="84" t="s">
        <v>43</v>
      </c>
      <c r="C25" s="85"/>
      <c r="D25" s="85"/>
    </row>
    <row r="26" spans="2:4" x14ac:dyDescent="0.2">
      <c r="B26" s="5" t="s">
        <v>182</v>
      </c>
      <c r="D26" s="86"/>
    </row>
    <row r="27" spans="2:4" ht="18" customHeight="1" x14ac:dyDescent="0.2">
      <c r="B27" s="85"/>
    </row>
    <row r="28" spans="2:4" x14ac:dyDescent="0.2">
      <c r="B28" s="85"/>
      <c r="C28" s="85"/>
      <c r="D28" s="85"/>
    </row>
    <row r="29" spans="2:4" x14ac:dyDescent="0.2">
      <c r="B29" s="85"/>
      <c r="C29" s="85"/>
      <c r="D29" s="85"/>
    </row>
    <row r="30" spans="2:4" x14ac:dyDescent="0.2">
      <c r="B30" s="85"/>
      <c r="C30" s="85"/>
      <c r="D30" s="85"/>
    </row>
    <row r="31" spans="2:4" x14ac:dyDescent="0.2">
      <c r="B31" s="85"/>
      <c r="C31" s="85"/>
      <c r="D31" s="85"/>
    </row>
  </sheetData>
  <mergeCells count="5">
    <mergeCell ref="B6:B8"/>
    <mergeCell ref="C6:C8"/>
    <mergeCell ref="B2:D2"/>
    <mergeCell ref="B3:D3"/>
    <mergeCell ref="B4:D4"/>
  </mergeCells>
  <pageMargins left="1.5" right="0.75" top="0.5" bottom="1" header="0.5" footer="0.5"/>
  <pageSetup paperSize="9" scale="11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"/>
  <sheetViews>
    <sheetView showGridLines="0" view="pageBreakPreview" zoomScale="80" zoomScaleNormal="93" zoomScaleSheetLayoutView="80" workbookViewId="0">
      <selection activeCell="D7" sqref="F7"/>
    </sheetView>
  </sheetViews>
  <sheetFormatPr defaultColWidth="9.28515625" defaultRowHeight="14.25" x14ac:dyDescent="0.2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2:15" ht="15" x14ac:dyDescent="0.2">
      <c r="B1" s="93"/>
    </row>
    <row r="2" spans="2:15" ht="15" x14ac:dyDescent="0.2">
      <c r="I2" s="34" t="s">
        <v>304</v>
      </c>
    </row>
    <row r="3" spans="2:15" ht="15" x14ac:dyDescent="0.2">
      <c r="I3" s="34" t="s">
        <v>346</v>
      </c>
    </row>
    <row r="4" spans="2:15" ht="15" x14ac:dyDescent="0.2">
      <c r="C4" s="74"/>
      <c r="D4" s="74"/>
      <c r="E4" s="74"/>
      <c r="F4" s="74"/>
      <c r="G4" s="74"/>
      <c r="H4" s="74"/>
      <c r="I4" s="37" t="s">
        <v>273</v>
      </c>
    </row>
    <row r="5" spans="2:15" ht="15" x14ac:dyDescent="0.2">
      <c r="B5" s="26" t="s">
        <v>305</v>
      </c>
      <c r="C5" s="74"/>
      <c r="D5" s="74"/>
      <c r="E5" s="74"/>
      <c r="F5" s="74"/>
      <c r="G5" s="74"/>
      <c r="H5" s="74"/>
      <c r="I5" s="37"/>
    </row>
    <row r="6" spans="2:15" ht="15" x14ac:dyDescent="0.2">
      <c r="B6" s="26" t="s">
        <v>12</v>
      </c>
      <c r="C6" s="27"/>
      <c r="D6" s="27"/>
      <c r="O6" s="27" t="s">
        <v>128</v>
      </c>
    </row>
    <row r="7" spans="2:15" s="34" customFormat="1" ht="15" customHeight="1" x14ac:dyDescent="0.2">
      <c r="B7" s="32" t="s">
        <v>274</v>
      </c>
      <c r="C7" s="32" t="s">
        <v>129</v>
      </c>
      <c r="D7" s="32" t="s">
        <v>130</v>
      </c>
      <c r="E7" s="94" t="s">
        <v>131</v>
      </c>
      <c r="F7" s="94" t="s">
        <v>132</v>
      </c>
      <c r="G7" s="94" t="s">
        <v>133</v>
      </c>
      <c r="H7" s="94" t="s">
        <v>134</v>
      </c>
      <c r="I7" s="94" t="s">
        <v>135</v>
      </c>
      <c r="J7" s="94" t="s">
        <v>136</v>
      </c>
      <c r="K7" s="94" t="s">
        <v>137</v>
      </c>
      <c r="L7" s="94" t="s">
        <v>138</v>
      </c>
      <c r="M7" s="94" t="s">
        <v>139</v>
      </c>
      <c r="N7" s="94" t="s">
        <v>140</v>
      </c>
      <c r="O7" s="94" t="s">
        <v>127</v>
      </c>
    </row>
    <row r="8" spans="2:15" s="34" customFormat="1" ht="15" x14ac:dyDescent="0.2">
      <c r="B8" s="72" t="s">
        <v>342</v>
      </c>
      <c r="C8" s="173">
        <f>0.72*0.7055</f>
        <v>0.50795999999999997</v>
      </c>
      <c r="D8" s="173">
        <f>-0.02*0.7055</f>
        <v>-1.4110000000000001E-2</v>
      </c>
      <c r="E8" s="173">
        <f>-0.03*0.7055</f>
        <v>-2.1165E-2</v>
      </c>
      <c r="F8" s="173">
        <f>-0.02*0.7055</f>
        <v>-1.4110000000000001E-2</v>
      </c>
      <c r="G8" s="173">
        <f>0.26*0.7055</f>
        <v>0.18343000000000001</v>
      </c>
      <c r="H8" s="173">
        <f>0.34*0.7055</f>
        <v>0.23987000000000003</v>
      </c>
      <c r="I8" s="173">
        <f>0.61*0.7055</f>
        <v>0.43035499999999999</v>
      </c>
      <c r="J8" s="173">
        <f>0.2052*0.7055</f>
        <v>0.1447686</v>
      </c>
      <c r="K8" s="173">
        <f>-0.02*0.7055</f>
        <v>-1.4110000000000001E-2</v>
      </c>
      <c r="L8" s="173">
        <f>0.3588*0.7055</f>
        <v>0.25313340000000001</v>
      </c>
      <c r="M8" s="173">
        <f>0.1942*0.7055</f>
        <v>0.13700810000000002</v>
      </c>
      <c r="N8" s="173">
        <f>0.0934*0.7055</f>
        <v>6.5893699999999999E-2</v>
      </c>
      <c r="O8" s="165">
        <f>SUM(C8:N8)</f>
        <v>1.8989237999999999</v>
      </c>
    </row>
    <row r="9" spans="2:15" s="34" customFormat="1" ht="15" x14ac:dyDescent="0.2">
      <c r="B9" s="72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65"/>
    </row>
    <row r="10" spans="2:15" s="34" customFormat="1" ht="15" x14ac:dyDescent="0.2">
      <c r="B10" s="72" t="s">
        <v>343</v>
      </c>
      <c r="C10" s="173">
        <f>0.72*0.2945</f>
        <v>0.21203999999999998</v>
      </c>
      <c r="D10" s="173">
        <f>-0.02*0.2945</f>
        <v>-5.8899999999999994E-3</v>
      </c>
      <c r="E10" s="173">
        <f>-0.03*0.2945</f>
        <v>-8.8349999999999991E-3</v>
      </c>
      <c r="F10" s="173">
        <f>-0.02*0.2945</f>
        <v>-5.8899999999999994E-3</v>
      </c>
      <c r="G10" s="173">
        <f>0.26*0.2945</f>
        <v>7.6569999999999999E-2</v>
      </c>
      <c r="H10" s="173">
        <f>0.34*0.2945</f>
        <v>0.10013</v>
      </c>
      <c r="I10" s="173">
        <f>0.61*0.2945</f>
        <v>0.179645</v>
      </c>
      <c r="J10" s="173">
        <f>0.2052*0.2945</f>
        <v>6.0431399999999996E-2</v>
      </c>
      <c r="K10" s="173">
        <f>-0.02*0.2945</f>
        <v>-5.8899999999999994E-3</v>
      </c>
      <c r="L10" s="173">
        <f>0.3588*0.2945</f>
        <v>0.1056666</v>
      </c>
      <c r="M10" s="173">
        <f>0.1942*0.2945</f>
        <v>5.7191899999999997E-2</v>
      </c>
      <c r="N10" s="173">
        <f>0.0934*0.2945</f>
        <v>2.7506299999999997E-2</v>
      </c>
      <c r="O10" s="165">
        <f>SUM(C10:N10)</f>
        <v>0.79267619999999994</v>
      </c>
    </row>
    <row r="11" spans="2:15" x14ac:dyDescent="0.2">
      <c r="B11" s="39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2:15" ht="15" x14ac:dyDescent="0.2">
      <c r="B12" s="40" t="s">
        <v>127</v>
      </c>
      <c r="C12" s="112">
        <f>C8+C10</f>
        <v>0.72</v>
      </c>
      <c r="D12" s="112">
        <f t="shared" ref="D12:O12" si="0">D8+D10</f>
        <v>-0.02</v>
      </c>
      <c r="E12" s="112">
        <f t="shared" si="0"/>
        <v>-0.03</v>
      </c>
      <c r="F12" s="112">
        <f t="shared" si="0"/>
        <v>-0.02</v>
      </c>
      <c r="G12" s="112">
        <f t="shared" si="0"/>
        <v>0.26</v>
      </c>
      <c r="H12" s="112">
        <f t="shared" si="0"/>
        <v>0.34</v>
      </c>
      <c r="I12" s="112">
        <f t="shared" si="0"/>
        <v>0.61</v>
      </c>
      <c r="J12" s="112">
        <f t="shared" si="0"/>
        <v>0.20519999999999999</v>
      </c>
      <c r="K12" s="112">
        <f t="shared" si="0"/>
        <v>-0.02</v>
      </c>
      <c r="L12" s="112">
        <f t="shared" si="0"/>
        <v>0.35880000000000001</v>
      </c>
      <c r="M12" s="112">
        <f t="shared" si="0"/>
        <v>0.19420000000000001</v>
      </c>
      <c r="N12" s="112">
        <f>N8+N10</f>
        <v>9.3399999999999997E-2</v>
      </c>
      <c r="O12" s="112">
        <f t="shared" si="0"/>
        <v>2.6915999999999998</v>
      </c>
    </row>
    <row r="13" spans="2:15" ht="16.5" x14ac:dyDescent="0.2">
      <c r="B13" s="26"/>
      <c r="C13" s="74"/>
      <c r="D13" s="74"/>
      <c r="E13" s="74"/>
      <c r="F13" s="74"/>
      <c r="G13" s="74"/>
      <c r="H13" s="74"/>
      <c r="I13" s="87"/>
    </row>
  </sheetData>
  <pageMargins left="0.13" right="0.33" top="0.25" bottom="0.12" header="0.5" footer="0.5"/>
  <pageSetup paperSize="9" scale="83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1"/>
  <sheetViews>
    <sheetView showGridLines="0" view="pageBreakPreview" zoomScale="91" zoomScaleNormal="93" zoomScaleSheetLayoutView="91" workbookViewId="0">
      <selection activeCell="D7" sqref="F7"/>
    </sheetView>
  </sheetViews>
  <sheetFormatPr defaultColWidth="9.28515625" defaultRowHeight="14.25" x14ac:dyDescent="0.2"/>
  <cols>
    <col min="1" max="1" width="2.42578125" style="15" customWidth="1"/>
    <col min="2" max="2" width="5" style="15" customWidth="1"/>
    <col min="3" max="3" width="40.5703125" style="15" customWidth="1"/>
    <col min="4" max="4" width="13" style="15" customWidth="1"/>
    <col min="5" max="5" width="9.85546875" style="15" customWidth="1"/>
    <col min="6" max="6" width="10.42578125" style="15" customWidth="1"/>
    <col min="7" max="7" width="9" style="15" customWidth="1"/>
    <col min="8" max="8" width="9.7109375" style="15" customWidth="1"/>
    <col min="9" max="9" width="10" style="15" customWidth="1"/>
    <col min="10" max="10" width="11.140625" style="15" customWidth="1"/>
    <col min="11" max="11" width="9.5703125" style="15" customWidth="1"/>
    <col min="12" max="12" width="8.42578125" style="15" customWidth="1"/>
    <col min="13" max="13" width="9.7109375" style="15" customWidth="1"/>
    <col min="14" max="15" width="9" style="15" customWidth="1"/>
    <col min="16" max="16" width="10" style="15" customWidth="1"/>
    <col min="17" max="17" width="11.7109375" style="15" customWidth="1"/>
    <col min="18" max="16384" width="9.28515625" style="15"/>
  </cols>
  <sheetData>
    <row r="1" spans="2:17" s="5" customFormat="1" ht="15" x14ac:dyDescent="0.2">
      <c r="B1" s="93"/>
    </row>
    <row r="2" spans="2:17" s="5" customFormat="1" ht="15" customHeight="1" x14ac:dyDescent="0.2"/>
    <row r="3" spans="2:17" s="5" customFormat="1" ht="15" customHeight="1" x14ac:dyDescent="0.2">
      <c r="B3" s="193" t="s">
        <v>304</v>
      </c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</row>
    <row r="4" spans="2:17" s="5" customFormat="1" ht="15" customHeight="1" x14ac:dyDescent="0.2">
      <c r="B4" s="193" t="s">
        <v>346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</row>
    <row r="5" spans="2:17" ht="15" x14ac:dyDescent="0.2">
      <c r="B5" s="26" t="s">
        <v>305</v>
      </c>
      <c r="E5" s="193" t="s">
        <v>277</v>
      </c>
      <c r="F5" s="193"/>
      <c r="G5" s="193"/>
      <c r="H5" s="193"/>
      <c r="I5" s="193"/>
      <c r="J5" s="193"/>
      <c r="K5" s="193"/>
    </row>
    <row r="6" spans="2:17" ht="15" x14ac:dyDescent="0.2">
      <c r="B6" s="38" t="s">
        <v>12</v>
      </c>
    </row>
    <row r="7" spans="2:17" ht="30" x14ac:dyDescent="0.2">
      <c r="B7" s="95" t="s">
        <v>167</v>
      </c>
      <c r="C7" s="95" t="s">
        <v>18</v>
      </c>
      <c r="D7" s="95" t="s">
        <v>39</v>
      </c>
      <c r="E7" s="32" t="s">
        <v>129</v>
      </c>
      <c r="F7" s="32" t="s">
        <v>130</v>
      </c>
      <c r="G7" s="94" t="s">
        <v>131</v>
      </c>
      <c r="H7" s="94" t="s">
        <v>132</v>
      </c>
      <c r="I7" s="94" t="s">
        <v>133</v>
      </c>
      <c r="J7" s="94" t="s">
        <v>134</v>
      </c>
      <c r="K7" s="94" t="s">
        <v>135</v>
      </c>
      <c r="L7" s="94" t="s">
        <v>136</v>
      </c>
      <c r="M7" s="94" t="s">
        <v>137</v>
      </c>
      <c r="N7" s="94" t="s">
        <v>138</v>
      </c>
      <c r="O7" s="94" t="s">
        <v>139</v>
      </c>
      <c r="P7" s="94" t="s">
        <v>140</v>
      </c>
      <c r="Q7" s="96" t="s">
        <v>127</v>
      </c>
    </row>
    <row r="8" spans="2:17" ht="16.5" x14ac:dyDescent="0.2">
      <c r="B8" s="97">
        <v>1</v>
      </c>
      <c r="C8" s="98" t="s">
        <v>150</v>
      </c>
      <c r="D8" s="97" t="s">
        <v>40</v>
      </c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</row>
    <row r="9" spans="2:17" ht="16.5" x14ac:dyDescent="0.2">
      <c r="B9" s="97">
        <f>B8+1</f>
        <v>2</v>
      </c>
      <c r="C9" s="98" t="s">
        <v>168</v>
      </c>
      <c r="D9" s="97" t="s">
        <v>40</v>
      </c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</row>
    <row r="10" spans="2:17" ht="16.5" x14ac:dyDescent="0.2">
      <c r="B10" s="97">
        <f t="shared" ref="B10:B26" si="0">B9+1</f>
        <v>3</v>
      </c>
      <c r="C10" s="98" t="s">
        <v>169</v>
      </c>
      <c r="D10" s="97" t="s">
        <v>40</v>
      </c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</row>
    <row r="11" spans="2:17" ht="16.5" x14ac:dyDescent="0.2">
      <c r="B11" s="97">
        <f t="shared" si="0"/>
        <v>4</v>
      </c>
      <c r="C11" s="98" t="s">
        <v>41</v>
      </c>
      <c r="D11" s="97" t="s">
        <v>40</v>
      </c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</row>
    <row r="12" spans="2:17" ht="16.5" x14ac:dyDescent="0.2">
      <c r="B12" s="97">
        <f t="shared" si="0"/>
        <v>5</v>
      </c>
      <c r="C12" s="98" t="s">
        <v>170</v>
      </c>
      <c r="D12" s="97" t="s">
        <v>40</v>
      </c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</row>
    <row r="13" spans="2:17" ht="16.5" x14ac:dyDescent="0.2">
      <c r="B13" s="97">
        <f t="shared" si="0"/>
        <v>6</v>
      </c>
      <c r="C13" s="98" t="s">
        <v>171</v>
      </c>
      <c r="D13" s="97" t="s">
        <v>40</v>
      </c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</row>
    <row r="14" spans="2:17" ht="16.5" x14ac:dyDescent="0.2">
      <c r="B14" s="97">
        <f t="shared" si="0"/>
        <v>7</v>
      </c>
      <c r="C14" s="92" t="s">
        <v>172</v>
      </c>
      <c r="D14" s="101" t="s">
        <v>42</v>
      </c>
      <c r="E14" s="166">
        <v>0.81</v>
      </c>
      <c r="F14" s="166">
        <v>0</v>
      </c>
      <c r="G14" s="166">
        <v>0</v>
      </c>
      <c r="H14" s="166">
        <v>0</v>
      </c>
      <c r="I14" s="166">
        <v>0.3</v>
      </c>
      <c r="J14" s="166">
        <v>0.38</v>
      </c>
      <c r="K14" s="166">
        <v>0.66</v>
      </c>
      <c r="L14" s="166">
        <v>0.24</v>
      </c>
      <c r="M14" s="166">
        <v>0</v>
      </c>
      <c r="N14" s="166">
        <v>0.41</v>
      </c>
      <c r="O14" s="166">
        <v>0.22</v>
      </c>
      <c r="P14" s="166">
        <v>0.12</v>
      </c>
      <c r="Q14" s="166">
        <v>3.140000000000001</v>
      </c>
    </row>
    <row r="15" spans="2:17" ht="16.5" x14ac:dyDescent="0.2">
      <c r="B15" s="97">
        <f t="shared" si="0"/>
        <v>8</v>
      </c>
      <c r="C15" s="92" t="s">
        <v>173</v>
      </c>
      <c r="D15" s="101" t="s">
        <v>42</v>
      </c>
      <c r="E15" s="166">
        <v>0.08</v>
      </c>
      <c r="F15" s="166">
        <v>0.02</v>
      </c>
      <c r="G15" s="166">
        <v>0.03</v>
      </c>
      <c r="H15" s="166">
        <v>0.02</v>
      </c>
      <c r="I15" s="166">
        <v>0.04</v>
      </c>
      <c r="J15" s="166">
        <v>0.05</v>
      </c>
      <c r="K15" s="166">
        <v>0.05</v>
      </c>
      <c r="L15" s="166">
        <v>0.03</v>
      </c>
      <c r="M15" s="166">
        <v>0.02</v>
      </c>
      <c r="N15" s="166">
        <v>0.05</v>
      </c>
      <c r="O15" s="166">
        <v>0.03</v>
      </c>
      <c r="P15" s="166">
        <v>0.03</v>
      </c>
      <c r="Q15" s="166">
        <v>0.44999999999999996</v>
      </c>
    </row>
    <row r="16" spans="2:17" ht="15" x14ac:dyDescent="0.2">
      <c r="B16" s="97">
        <f t="shared" si="0"/>
        <v>9</v>
      </c>
      <c r="C16" s="92" t="s">
        <v>187</v>
      </c>
      <c r="D16" s="101" t="s">
        <v>42</v>
      </c>
      <c r="E16" s="110">
        <v>0.73000000000000009</v>
      </c>
      <c r="F16" s="110">
        <v>-0.02</v>
      </c>
      <c r="G16" s="110">
        <v>-0.03</v>
      </c>
      <c r="H16" s="110">
        <v>-0.02</v>
      </c>
      <c r="I16" s="110">
        <v>0.26</v>
      </c>
      <c r="J16" s="110">
        <v>0.33</v>
      </c>
      <c r="K16" s="110">
        <v>0.61</v>
      </c>
      <c r="L16" s="110">
        <v>0.21</v>
      </c>
      <c r="M16" s="110">
        <v>-0.02</v>
      </c>
      <c r="N16" s="110">
        <v>0.36</v>
      </c>
      <c r="O16" s="110">
        <v>0.19</v>
      </c>
      <c r="P16" s="110">
        <v>0.09</v>
      </c>
      <c r="Q16" s="110">
        <v>2.6900000000000013</v>
      </c>
    </row>
    <row r="17" spans="2:17" x14ac:dyDescent="0.2">
      <c r="B17" s="97">
        <f t="shared" si="0"/>
        <v>10</v>
      </c>
      <c r="C17" s="92" t="s">
        <v>188</v>
      </c>
      <c r="D17" s="101" t="s">
        <v>42</v>
      </c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100"/>
    </row>
    <row r="18" spans="2:17" x14ac:dyDescent="0.2">
      <c r="B18" s="97">
        <f t="shared" si="0"/>
        <v>11</v>
      </c>
      <c r="C18" s="92" t="s">
        <v>174</v>
      </c>
      <c r="D18" s="101" t="s">
        <v>178</v>
      </c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02"/>
    </row>
    <row r="19" spans="2:17" ht="16.5" x14ac:dyDescent="0.2">
      <c r="B19" s="97">
        <f t="shared" si="0"/>
        <v>12</v>
      </c>
      <c r="C19" s="92" t="s">
        <v>189</v>
      </c>
      <c r="D19" s="101" t="s">
        <v>179</v>
      </c>
      <c r="E19" s="167">
        <v>0.79900000000000004</v>
      </c>
      <c r="F19" s="167">
        <v>0.79900000000000004</v>
      </c>
      <c r="G19" s="167">
        <v>0.79900000000000004</v>
      </c>
      <c r="H19" s="167">
        <v>0.79900000000000004</v>
      </c>
      <c r="I19" s="167">
        <v>0.79900000000000004</v>
      </c>
      <c r="J19" s="167">
        <v>0.79900000000000004</v>
      </c>
      <c r="K19" s="167">
        <v>0.79900000000000004</v>
      </c>
      <c r="L19" s="167">
        <v>0.79900000000000004</v>
      </c>
      <c r="M19" s="167">
        <v>0.79900000000000004</v>
      </c>
      <c r="N19" s="167">
        <v>0.79900000000000004</v>
      </c>
      <c r="O19" s="167">
        <v>0.79900000000000004</v>
      </c>
      <c r="P19" s="167">
        <v>0.79900000000000004</v>
      </c>
      <c r="Q19" s="100">
        <v>9.588000000000001</v>
      </c>
    </row>
    <row r="20" spans="2:17" x14ac:dyDescent="0.2">
      <c r="B20" s="97">
        <f t="shared" si="0"/>
        <v>13</v>
      </c>
      <c r="C20" s="92" t="s">
        <v>275</v>
      </c>
      <c r="D20" s="101" t="s">
        <v>178</v>
      </c>
      <c r="E20" s="168">
        <v>0</v>
      </c>
      <c r="F20" s="168">
        <v>0</v>
      </c>
      <c r="G20" s="168">
        <v>0</v>
      </c>
      <c r="H20" s="168">
        <v>0</v>
      </c>
      <c r="I20" s="168">
        <v>0</v>
      </c>
      <c r="J20" s="168">
        <v>0</v>
      </c>
      <c r="K20" s="168">
        <v>0</v>
      </c>
      <c r="L20" s="168">
        <v>0</v>
      </c>
      <c r="M20" s="168">
        <v>0</v>
      </c>
      <c r="N20" s="168">
        <v>0</v>
      </c>
      <c r="O20" s="168">
        <v>0</v>
      </c>
      <c r="P20" s="168">
        <v>0</v>
      </c>
      <c r="Q20" s="100">
        <v>0</v>
      </c>
    </row>
    <row r="21" spans="2:17" ht="16.5" x14ac:dyDescent="0.2">
      <c r="B21" s="97">
        <f t="shared" si="0"/>
        <v>14</v>
      </c>
      <c r="C21" s="92" t="s">
        <v>175</v>
      </c>
      <c r="D21" s="101" t="s">
        <v>179</v>
      </c>
      <c r="E21" s="167">
        <v>0.79916670000000001</v>
      </c>
      <c r="F21" s="167">
        <v>0.79916670000000001</v>
      </c>
      <c r="G21" s="167">
        <v>0.79916670000000001</v>
      </c>
      <c r="H21" s="167">
        <v>0.79916670000000001</v>
      </c>
      <c r="I21" s="167">
        <v>0.79916670000000001</v>
      </c>
      <c r="J21" s="167">
        <v>0.79916670000000001</v>
      </c>
      <c r="K21" s="167">
        <v>0.79916670000000001</v>
      </c>
      <c r="L21" s="167">
        <v>0.79916670000000001</v>
      </c>
      <c r="M21" s="167">
        <v>0.79916670000000001</v>
      </c>
      <c r="N21" s="167">
        <v>0.79916670000000001</v>
      </c>
      <c r="O21" s="167">
        <v>0.79916670000000001</v>
      </c>
      <c r="P21" s="167">
        <v>0.79916670000000001</v>
      </c>
      <c r="Q21" s="100">
        <v>9.5900003999999992</v>
      </c>
    </row>
    <row r="22" spans="2:17" x14ac:dyDescent="0.2">
      <c r="B22" s="97">
        <f t="shared" si="0"/>
        <v>15</v>
      </c>
      <c r="C22" s="92" t="s">
        <v>276</v>
      </c>
      <c r="D22" s="101" t="s">
        <v>179</v>
      </c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0"/>
    </row>
    <row r="23" spans="2:17" x14ac:dyDescent="0.2">
      <c r="B23" s="97">
        <f t="shared" si="0"/>
        <v>16</v>
      </c>
      <c r="C23" s="92" t="s">
        <v>190</v>
      </c>
      <c r="D23" s="101" t="s">
        <v>179</v>
      </c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0"/>
    </row>
    <row r="24" spans="2:17" x14ac:dyDescent="0.2">
      <c r="B24" s="97">
        <f t="shared" si="0"/>
        <v>17</v>
      </c>
      <c r="C24" s="92" t="s">
        <v>176</v>
      </c>
      <c r="D24" s="101" t="s">
        <v>179</v>
      </c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0"/>
    </row>
    <row r="25" spans="2:17" ht="15" x14ac:dyDescent="0.2">
      <c r="B25" s="97">
        <f t="shared" si="0"/>
        <v>18</v>
      </c>
      <c r="C25" s="104" t="s">
        <v>141</v>
      </c>
      <c r="D25" s="101" t="s">
        <v>179</v>
      </c>
      <c r="E25" s="103">
        <v>0.79916670000000001</v>
      </c>
      <c r="F25" s="103">
        <v>0.79916670000000001</v>
      </c>
      <c r="G25" s="103">
        <v>0.79916670000000001</v>
      </c>
      <c r="H25" s="103">
        <v>0.79916670000000001</v>
      </c>
      <c r="I25" s="103">
        <v>0.79916670000000001</v>
      </c>
      <c r="J25" s="103">
        <v>0.79916670000000001</v>
      </c>
      <c r="K25" s="103">
        <v>0.79916670000000001</v>
      </c>
      <c r="L25" s="103">
        <v>0.79916670000000001</v>
      </c>
      <c r="M25" s="103">
        <v>0.79916670000000001</v>
      </c>
      <c r="N25" s="103">
        <v>0.79916670000000001</v>
      </c>
      <c r="O25" s="103">
        <v>0.79916670000000001</v>
      </c>
      <c r="P25" s="103">
        <v>0.79916670000000001</v>
      </c>
      <c r="Q25" s="100">
        <v>9.5900003999999992</v>
      </c>
    </row>
    <row r="26" spans="2:17" ht="15" x14ac:dyDescent="0.2">
      <c r="B26" s="97">
        <f t="shared" si="0"/>
        <v>19</v>
      </c>
      <c r="C26" s="106" t="s">
        <v>177</v>
      </c>
      <c r="D26" s="101"/>
      <c r="E26" s="103"/>
      <c r="F26" s="99"/>
      <c r="G26" s="99"/>
      <c r="H26" s="99"/>
      <c r="I26" s="99"/>
      <c r="J26" s="99"/>
      <c r="K26" s="99"/>
      <c r="L26" s="99"/>
      <c r="M26" s="100"/>
      <c r="N26" s="100"/>
      <c r="O26" s="100"/>
      <c r="P26" s="100"/>
      <c r="Q26" s="105"/>
    </row>
    <row r="27" spans="2:17" ht="33" x14ac:dyDescent="0.2">
      <c r="B27" s="169" t="s">
        <v>344</v>
      </c>
      <c r="C27" s="176" t="s">
        <v>347</v>
      </c>
      <c r="D27" s="171" t="s">
        <v>179</v>
      </c>
      <c r="E27" s="103"/>
      <c r="F27" s="99"/>
      <c r="G27" s="99"/>
      <c r="H27" s="99"/>
      <c r="I27" s="99"/>
      <c r="J27" s="99"/>
      <c r="K27" s="99"/>
      <c r="L27" s="99"/>
      <c r="M27" s="100"/>
      <c r="N27" s="100"/>
      <c r="O27" s="100"/>
      <c r="P27" s="100"/>
      <c r="Q27" s="172">
        <v>-0.67</v>
      </c>
    </row>
    <row r="28" spans="2:17" ht="33" x14ac:dyDescent="0.2">
      <c r="B28" s="169" t="s">
        <v>344</v>
      </c>
      <c r="C28" s="176" t="s">
        <v>348</v>
      </c>
      <c r="D28" s="171" t="s">
        <v>179</v>
      </c>
      <c r="E28" s="103"/>
      <c r="F28" s="99"/>
      <c r="G28" s="99"/>
      <c r="H28" s="99"/>
      <c r="I28" s="99"/>
      <c r="J28" s="99"/>
      <c r="K28" s="99"/>
      <c r="L28" s="99"/>
      <c r="M28" s="100"/>
      <c r="N28" s="100"/>
      <c r="O28" s="100"/>
      <c r="P28" s="100"/>
      <c r="Q28" s="172"/>
    </row>
    <row r="29" spans="2:17" ht="16.5" x14ac:dyDescent="0.2">
      <c r="B29" s="169" t="s">
        <v>344</v>
      </c>
      <c r="C29" s="170" t="s">
        <v>93</v>
      </c>
      <c r="D29" s="171" t="s">
        <v>179</v>
      </c>
      <c r="E29" s="103"/>
      <c r="F29" s="99"/>
      <c r="G29" s="99"/>
      <c r="H29" s="99"/>
      <c r="I29" s="99"/>
      <c r="J29" s="99"/>
      <c r="K29" s="99"/>
      <c r="L29" s="99"/>
      <c r="M29" s="100"/>
      <c r="N29" s="100"/>
      <c r="O29" s="100"/>
      <c r="P29" s="100"/>
      <c r="Q29" s="172">
        <v>2.2000000000000002</v>
      </c>
    </row>
    <row r="30" spans="2:17" ht="15" x14ac:dyDescent="0.2">
      <c r="B30" s="101">
        <f>B26+1</f>
        <v>20</v>
      </c>
      <c r="C30" s="91" t="s">
        <v>149</v>
      </c>
      <c r="D30" s="101" t="s">
        <v>179</v>
      </c>
      <c r="E30" s="110">
        <v>0.79916670000000001</v>
      </c>
      <c r="F30" s="110">
        <v>0.79916670000000001</v>
      </c>
      <c r="G30" s="110">
        <v>0.79916670000000001</v>
      </c>
      <c r="H30" s="110">
        <v>0.79916670000000001</v>
      </c>
      <c r="I30" s="110">
        <v>0.79916670000000001</v>
      </c>
      <c r="J30" s="110">
        <v>0.79916670000000001</v>
      </c>
      <c r="K30" s="110">
        <v>0.79916670000000001</v>
      </c>
      <c r="L30" s="110">
        <v>0.79916670000000001</v>
      </c>
      <c r="M30" s="110">
        <v>0.79916670000000001</v>
      </c>
      <c r="N30" s="110">
        <v>0.79916670000000001</v>
      </c>
      <c r="O30" s="110">
        <v>0.79916670000000001</v>
      </c>
      <c r="P30" s="110">
        <v>0.79916670000000001</v>
      </c>
      <c r="Q30" s="110">
        <v>11.120000399999999</v>
      </c>
    </row>
    <row r="31" spans="2:17" ht="15" x14ac:dyDescent="0.2">
      <c r="B31" s="101">
        <f>B30+1</f>
        <v>21</v>
      </c>
      <c r="C31" s="91" t="s">
        <v>180</v>
      </c>
      <c r="D31" s="101" t="s">
        <v>179</v>
      </c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7"/>
    </row>
  </sheetData>
  <mergeCells count="3">
    <mergeCell ref="B3:Q3"/>
    <mergeCell ref="B4:Q4"/>
    <mergeCell ref="E5:K5"/>
  </mergeCells>
  <pageMargins left="0.2" right="0.2" top="0.5" bottom="0.75" header="0.3" footer="0.3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3"/>
  <sheetViews>
    <sheetView showGridLines="0" view="pageBreakPreview" topLeftCell="E1" zoomScale="95" zoomScaleNormal="93" zoomScaleSheetLayoutView="95" workbookViewId="0">
      <selection activeCell="D7" sqref="F7"/>
    </sheetView>
  </sheetViews>
  <sheetFormatPr defaultColWidth="9.28515625" defaultRowHeight="14.25" x14ac:dyDescent="0.2"/>
  <cols>
    <col min="1" max="1" width="3" style="15" customWidth="1"/>
    <col min="2" max="2" width="6.28515625" style="15" customWidth="1"/>
    <col min="3" max="3" width="37.28515625" style="15" customWidth="1"/>
    <col min="4" max="4" width="14.28515625" style="15" customWidth="1"/>
    <col min="5" max="5" width="11.5703125" style="15" customWidth="1"/>
    <col min="6" max="6" width="13.85546875" style="15" customWidth="1"/>
    <col min="7" max="7" width="13.140625" style="15" customWidth="1"/>
    <col min="8" max="8" width="14.140625" style="15" customWidth="1"/>
    <col min="9" max="9" width="15.7109375" style="15" customWidth="1"/>
    <col min="10" max="16384" width="9.28515625" style="15"/>
  </cols>
  <sheetData>
    <row r="2" spans="2:9" ht="14.25" customHeight="1" x14ac:dyDescent="0.2">
      <c r="B2" s="193" t="s">
        <v>304</v>
      </c>
      <c r="C2" s="193"/>
      <c r="D2" s="193"/>
      <c r="E2" s="193"/>
      <c r="F2" s="193"/>
      <c r="G2" s="193"/>
      <c r="H2" s="193"/>
      <c r="I2" s="193"/>
    </row>
    <row r="3" spans="2:9" ht="14.25" customHeight="1" x14ac:dyDescent="0.2">
      <c r="B3" s="193" t="s">
        <v>346</v>
      </c>
      <c r="C3" s="193"/>
      <c r="D3" s="193"/>
      <c r="E3" s="193"/>
      <c r="F3" s="193"/>
      <c r="G3" s="193"/>
      <c r="H3" s="193"/>
      <c r="I3" s="193"/>
    </row>
    <row r="4" spans="2:9" s="4" customFormat="1" ht="14.25" customHeight="1" x14ac:dyDescent="0.2">
      <c r="B4" s="189" t="s">
        <v>309</v>
      </c>
      <c r="C4" s="189"/>
      <c r="D4" s="189"/>
      <c r="E4" s="189"/>
      <c r="F4" s="189"/>
      <c r="G4" s="189"/>
      <c r="H4" s="189"/>
      <c r="I4" s="189"/>
    </row>
    <row r="6" spans="2:9" x14ac:dyDescent="0.2">
      <c r="I6" s="186" t="s">
        <v>351</v>
      </c>
    </row>
    <row r="7" spans="2:9" ht="12.75" customHeight="1" x14ac:dyDescent="0.2">
      <c r="B7" s="197" t="s">
        <v>167</v>
      </c>
      <c r="C7" s="200" t="s">
        <v>18</v>
      </c>
      <c r="D7" s="194" t="s">
        <v>39</v>
      </c>
      <c r="E7" s="200" t="s">
        <v>1</v>
      </c>
      <c r="F7" s="204" t="s">
        <v>305</v>
      </c>
      <c r="G7" s="205"/>
      <c r="H7" s="206"/>
      <c r="I7" s="202" t="s">
        <v>11</v>
      </c>
    </row>
    <row r="8" spans="2:9" ht="30" customHeight="1" x14ac:dyDescent="0.2">
      <c r="B8" s="198"/>
      <c r="C8" s="200"/>
      <c r="D8" s="195"/>
      <c r="E8" s="200"/>
      <c r="F8" s="17" t="s">
        <v>278</v>
      </c>
      <c r="G8" s="17" t="s">
        <v>200</v>
      </c>
      <c r="H8" s="17" t="s">
        <v>181</v>
      </c>
      <c r="I8" s="202"/>
    </row>
    <row r="9" spans="2:9" ht="15" x14ac:dyDescent="0.2">
      <c r="B9" s="199"/>
      <c r="C9" s="201"/>
      <c r="D9" s="196"/>
      <c r="E9" s="201"/>
      <c r="F9" s="17" t="s">
        <v>10</v>
      </c>
      <c r="G9" s="17" t="s">
        <v>12</v>
      </c>
      <c r="H9" s="17" t="s">
        <v>201</v>
      </c>
      <c r="I9" s="203"/>
    </row>
    <row r="10" spans="2:9" ht="15" x14ac:dyDescent="0.2">
      <c r="B10" s="24" t="s">
        <v>55</v>
      </c>
      <c r="C10" s="25" t="s">
        <v>204</v>
      </c>
      <c r="D10" s="22"/>
      <c r="E10" s="22"/>
      <c r="F10" s="17"/>
      <c r="G10" s="17"/>
      <c r="H10" s="17"/>
      <c r="I10" s="23"/>
    </row>
    <row r="11" spans="2:9" ht="15" x14ac:dyDescent="0.2">
      <c r="B11" s="2">
        <v>1</v>
      </c>
      <c r="C11" s="3" t="s">
        <v>36</v>
      </c>
      <c r="D11" s="2" t="s">
        <v>179</v>
      </c>
      <c r="E11" s="19" t="s">
        <v>238</v>
      </c>
      <c r="F11" s="122">
        <f>'F2'!E14</f>
        <v>6.64</v>
      </c>
      <c r="G11" s="122">
        <f>'F2'!F14</f>
        <v>8.42</v>
      </c>
      <c r="H11" s="122">
        <f>'F2'!G14</f>
        <v>8.42</v>
      </c>
      <c r="I11" s="127"/>
    </row>
    <row r="12" spans="2:9" ht="15" x14ac:dyDescent="0.2">
      <c r="B12" s="2">
        <f t="shared" ref="B12:B17" si="0">B11+1</f>
        <v>2</v>
      </c>
      <c r="C12" s="20" t="s">
        <v>146</v>
      </c>
      <c r="D12" s="2" t="s">
        <v>179</v>
      </c>
      <c r="E12" s="19" t="s">
        <v>23</v>
      </c>
      <c r="F12" s="128">
        <v>0.9</v>
      </c>
      <c r="G12" s="128">
        <f>H12</f>
        <v>0.34</v>
      </c>
      <c r="H12" s="122">
        <f>'F4'!K22-'F4'!L22</f>
        <v>0.34</v>
      </c>
      <c r="I12" s="127"/>
    </row>
    <row r="13" spans="2:9" ht="15" x14ac:dyDescent="0.2">
      <c r="B13" s="2">
        <f t="shared" si="0"/>
        <v>3</v>
      </c>
      <c r="C13" s="3" t="s">
        <v>202</v>
      </c>
      <c r="D13" s="2" t="s">
        <v>179</v>
      </c>
      <c r="E13" s="18" t="s">
        <v>29</v>
      </c>
      <c r="F13" s="122">
        <f>'F5'!D22</f>
        <v>0</v>
      </c>
      <c r="G13" s="122">
        <f>'F5'!E22</f>
        <v>0.1</v>
      </c>
      <c r="H13" s="122">
        <f>'F5'!F22</f>
        <v>0.1</v>
      </c>
      <c r="I13" s="127"/>
    </row>
    <row r="14" spans="2:9" ht="15" x14ac:dyDescent="0.2">
      <c r="B14" s="2">
        <f t="shared" si="0"/>
        <v>4</v>
      </c>
      <c r="C14" s="20" t="s">
        <v>37</v>
      </c>
      <c r="D14" s="2" t="s">
        <v>179</v>
      </c>
      <c r="E14" s="18" t="s">
        <v>30</v>
      </c>
      <c r="F14" s="122">
        <f>'F6'!D20</f>
        <v>0.28999999999999998</v>
      </c>
      <c r="G14" s="122">
        <f ca="1">'F6'!E20</f>
        <v>0.38562082994304314</v>
      </c>
      <c r="H14" s="122">
        <f ca="1">'F6'!F20</f>
        <v>0.38562082994304314</v>
      </c>
      <c r="I14" s="127"/>
    </row>
    <row r="15" spans="2:9" ht="15" x14ac:dyDescent="0.2">
      <c r="B15" s="2">
        <f t="shared" si="0"/>
        <v>5</v>
      </c>
      <c r="C15" s="3" t="s">
        <v>203</v>
      </c>
      <c r="D15" s="2" t="s">
        <v>179</v>
      </c>
      <c r="E15" s="18" t="s">
        <v>31</v>
      </c>
      <c r="F15" s="122">
        <f>'F7'!D22</f>
        <v>1.76</v>
      </c>
      <c r="G15" s="122">
        <f>'F7'!E22</f>
        <v>1.94</v>
      </c>
      <c r="H15" s="122">
        <f>'F7'!F22</f>
        <v>1.94</v>
      </c>
      <c r="I15" s="127"/>
    </row>
    <row r="16" spans="2:9" ht="15" x14ac:dyDescent="0.2">
      <c r="B16" s="2">
        <f t="shared" si="0"/>
        <v>6</v>
      </c>
      <c r="C16" s="3" t="s">
        <v>38</v>
      </c>
      <c r="D16" s="2" t="s">
        <v>179</v>
      </c>
      <c r="E16" s="18" t="s">
        <v>32</v>
      </c>
      <c r="F16" s="122">
        <f>'F8'!D34</f>
        <v>0</v>
      </c>
      <c r="G16" s="122">
        <f>'F8'!E34</f>
        <v>0.02</v>
      </c>
      <c r="H16" s="122">
        <f>G16</f>
        <v>0.02</v>
      </c>
      <c r="I16" s="127"/>
    </row>
    <row r="17" spans="2:9" ht="15" x14ac:dyDescent="0.2">
      <c r="B17" s="16">
        <f t="shared" si="0"/>
        <v>7</v>
      </c>
      <c r="C17" s="21" t="s">
        <v>204</v>
      </c>
      <c r="D17" s="16" t="s">
        <v>179</v>
      </c>
      <c r="E17" s="18"/>
      <c r="F17" s="122">
        <f>SUM(F11:F16)</f>
        <v>9.59</v>
      </c>
      <c r="G17" s="122">
        <f t="shared" ref="G17:H17" ca="1" si="1">SUM(G11:G15)-G16</f>
        <v>11.165620829943043</v>
      </c>
      <c r="H17" s="122">
        <f t="shared" ca="1" si="1"/>
        <v>11.165620829943043</v>
      </c>
      <c r="I17" s="127"/>
    </row>
    <row r="18" spans="2:9" ht="15" x14ac:dyDescent="0.2">
      <c r="B18" s="16" t="s">
        <v>59</v>
      </c>
      <c r="C18" s="16" t="s">
        <v>205</v>
      </c>
      <c r="D18" s="18"/>
      <c r="E18" s="18"/>
      <c r="F18" s="18"/>
      <c r="G18" s="3"/>
      <c r="H18" s="3"/>
      <c r="I18" s="3"/>
    </row>
    <row r="19" spans="2:9" ht="15" x14ac:dyDescent="0.2">
      <c r="B19" s="2">
        <v>1</v>
      </c>
      <c r="C19" s="18" t="s">
        <v>206</v>
      </c>
      <c r="D19" s="2" t="s">
        <v>178</v>
      </c>
      <c r="E19" s="18" t="s">
        <v>143</v>
      </c>
      <c r="F19" s="140"/>
      <c r="G19" s="140"/>
      <c r="H19" s="140"/>
      <c r="I19" s="3"/>
    </row>
    <row r="20" spans="2:9" ht="15" x14ac:dyDescent="0.2">
      <c r="B20" s="2">
        <f>B19+1</f>
        <v>2</v>
      </c>
      <c r="C20" s="18" t="s">
        <v>207</v>
      </c>
      <c r="D20" s="2" t="s">
        <v>42</v>
      </c>
      <c r="E20" s="18" t="s">
        <v>34</v>
      </c>
      <c r="F20" s="122"/>
      <c r="G20" s="122"/>
      <c r="H20" s="122"/>
      <c r="I20" s="3"/>
    </row>
    <row r="21" spans="2:9" ht="15" x14ac:dyDescent="0.2">
      <c r="B21" s="2">
        <f>B20+1</f>
        <v>3</v>
      </c>
      <c r="C21" s="18" t="s">
        <v>205</v>
      </c>
      <c r="D21" s="2" t="s">
        <v>179</v>
      </c>
      <c r="E21" s="18"/>
      <c r="F21" s="122"/>
      <c r="G21" s="122"/>
      <c r="H21" s="122"/>
      <c r="I21" s="3"/>
    </row>
    <row r="22" spans="2:9" ht="15" x14ac:dyDescent="0.2">
      <c r="B22" s="16" t="s">
        <v>60</v>
      </c>
      <c r="C22" s="16" t="s">
        <v>298</v>
      </c>
      <c r="D22" s="2" t="s">
        <v>179</v>
      </c>
      <c r="E22" s="3"/>
      <c r="F22" s="175">
        <f>F17+F21</f>
        <v>9.59</v>
      </c>
      <c r="G22" s="122">
        <f t="shared" ref="G22:H22" ca="1" si="2">G17+G21</f>
        <v>11.165620829943043</v>
      </c>
      <c r="H22" s="122">
        <f t="shared" ca="1" si="2"/>
        <v>11.165620829943043</v>
      </c>
      <c r="I22" s="3"/>
    </row>
    <row r="23" spans="2:9" x14ac:dyDescent="0.2">
      <c r="F23" s="141"/>
    </row>
  </sheetData>
  <mergeCells count="9">
    <mergeCell ref="B4:I4"/>
    <mergeCell ref="B3:I3"/>
    <mergeCell ref="B2:I2"/>
    <mergeCell ref="D7:D9"/>
    <mergeCell ref="B7:B9"/>
    <mergeCell ref="C7:C9"/>
    <mergeCell ref="E7:E9"/>
    <mergeCell ref="I7:I9"/>
    <mergeCell ref="F7:H7"/>
  </mergeCells>
  <pageMargins left="0.73" right="0.23" top="0.92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6"/>
  <sheetViews>
    <sheetView showGridLines="0" view="pageBreakPreview" zoomScale="80" zoomScaleNormal="95" zoomScaleSheetLayoutView="80" workbookViewId="0">
      <selection activeCell="D7" sqref="F7"/>
    </sheetView>
  </sheetViews>
  <sheetFormatPr defaultColWidth="9.28515625" defaultRowHeight="14.25" x14ac:dyDescent="0.2"/>
  <cols>
    <col min="1" max="1" width="9.28515625" style="5"/>
    <col min="2" max="2" width="7.28515625" style="5" customWidth="1"/>
    <col min="3" max="3" width="29.42578125" style="5" customWidth="1"/>
    <col min="4" max="4" width="14.42578125" style="5" customWidth="1"/>
    <col min="5" max="7" width="14.7109375" style="5" customWidth="1"/>
    <col min="8" max="16384" width="9.28515625" style="5"/>
  </cols>
  <sheetData>
    <row r="1" spans="2:7" ht="15" x14ac:dyDescent="0.2">
      <c r="C1" s="38"/>
      <c r="D1" s="38"/>
      <c r="E1" s="38"/>
      <c r="F1" s="38"/>
      <c r="G1" s="38"/>
    </row>
    <row r="2" spans="2:7" ht="15" x14ac:dyDescent="0.2">
      <c r="B2" s="193" t="s">
        <v>304</v>
      </c>
      <c r="C2" s="193"/>
      <c r="D2" s="193"/>
      <c r="E2" s="193"/>
      <c r="F2" s="193"/>
      <c r="G2" s="193"/>
    </row>
    <row r="3" spans="2:7" ht="15" x14ac:dyDescent="0.2">
      <c r="B3" s="193" t="s">
        <v>346</v>
      </c>
      <c r="C3" s="193"/>
      <c r="D3" s="193"/>
      <c r="E3" s="193"/>
      <c r="F3" s="193"/>
      <c r="G3" s="193"/>
    </row>
    <row r="4" spans="2:7" ht="15" x14ac:dyDescent="0.2">
      <c r="B4" s="193" t="s">
        <v>285</v>
      </c>
      <c r="C4" s="193"/>
      <c r="D4" s="193"/>
      <c r="E4" s="193"/>
      <c r="F4" s="193"/>
      <c r="G4" s="193"/>
    </row>
    <row r="5" spans="2:7" ht="15" x14ac:dyDescent="0.2">
      <c r="B5" s="37"/>
      <c r="C5" s="37"/>
      <c r="D5" s="37"/>
      <c r="E5" s="37"/>
      <c r="F5" s="37"/>
      <c r="G5" s="37"/>
    </row>
    <row r="6" spans="2:7" ht="15" x14ac:dyDescent="0.2">
      <c r="B6" s="207" t="s">
        <v>56</v>
      </c>
      <c r="C6" s="207"/>
      <c r="D6" s="207"/>
      <c r="E6" s="207"/>
      <c r="F6" s="207"/>
      <c r="G6" s="207"/>
    </row>
    <row r="7" spans="2:7" x14ac:dyDescent="0.2">
      <c r="G7" s="186" t="s">
        <v>351</v>
      </c>
    </row>
    <row r="8" spans="2:7" ht="15" customHeight="1" x14ac:dyDescent="0.2">
      <c r="B8" s="208" t="s">
        <v>167</v>
      </c>
      <c r="C8" s="208" t="s">
        <v>18</v>
      </c>
      <c r="D8" s="209" t="s">
        <v>1</v>
      </c>
      <c r="E8" s="204" t="s">
        <v>305</v>
      </c>
      <c r="F8" s="205"/>
      <c r="G8" s="206"/>
    </row>
    <row r="9" spans="2:7" ht="30" x14ac:dyDescent="0.2">
      <c r="B9" s="208"/>
      <c r="C9" s="208"/>
      <c r="D9" s="210"/>
      <c r="E9" s="17" t="s">
        <v>278</v>
      </c>
      <c r="F9" s="17" t="s">
        <v>209</v>
      </c>
      <c r="G9" s="17" t="s">
        <v>181</v>
      </c>
    </row>
    <row r="10" spans="2:7" ht="15" x14ac:dyDescent="0.2">
      <c r="B10" s="208"/>
      <c r="C10" s="208"/>
      <c r="D10" s="211"/>
      <c r="E10" s="17" t="s">
        <v>10</v>
      </c>
      <c r="F10" s="17" t="s">
        <v>12</v>
      </c>
      <c r="G10" s="17" t="s">
        <v>201</v>
      </c>
    </row>
    <row r="11" spans="2:7" x14ac:dyDescent="0.2">
      <c r="B11" s="22">
        <v>1</v>
      </c>
      <c r="C11" s="30" t="s">
        <v>57</v>
      </c>
      <c r="D11" s="30" t="s">
        <v>24</v>
      </c>
      <c r="E11" s="126">
        <v>6.24</v>
      </c>
      <c r="F11" s="143">
        <f>F2.1!D36</f>
        <v>7.912717664077265</v>
      </c>
      <c r="G11" s="143">
        <f>F11</f>
        <v>7.912717664077265</v>
      </c>
    </row>
    <row r="12" spans="2:7" x14ac:dyDescent="0.2">
      <c r="B12" s="22">
        <f>B11+1</f>
        <v>2</v>
      </c>
      <c r="C12" s="39" t="s">
        <v>210</v>
      </c>
      <c r="D12" s="39" t="s">
        <v>25</v>
      </c>
      <c r="E12" s="132">
        <v>0.32</v>
      </c>
      <c r="F12" s="144">
        <f>F2.2!D40</f>
        <v>0.22773898058245112</v>
      </c>
      <c r="G12" s="143">
        <f t="shared" ref="G12:G13" si="0">F12</f>
        <v>0.22773898058245112</v>
      </c>
    </row>
    <row r="13" spans="2:7" x14ac:dyDescent="0.2">
      <c r="B13" s="22">
        <f>B12+1</f>
        <v>3</v>
      </c>
      <c r="C13" s="30" t="s">
        <v>183</v>
      </c>
      <c r="D13" s="30" t="s">
        <v>239</v>
      </c>
      <c r="E13" s="126">
        <v>0.15</v>
      </c>
      <c r="F13" s="143">
        <f>F2.3!D18</f>
        <v>0.28348057424057876</v>
      </c>
      <c r="G13" s="143">
        <f t="shared" si="0"/>
        <v>0.28348057424057876</v>
      </c>
    </row>
    <row r="14" spans="2:7" ht="15" x14ac:dyDescent="0.2">
      <c r="B14" s="22">
        <f>B13+1</f>
        <v>4</v>
      </c>
      <c r="C14" s="30" t="s">
        <v>58</v>
      </c>
      <c r="D14" s="30"/>
      <c r="E14" s="145">
        <v>6.64</v>
      </c>
      <c r="F14" s="145">
        <f>ROUND(SUM(F11:F13),2)</f>
        <v>8.42</v>
      </c>
      <c r="G14" s="145">
        <f>ROUND(SUM(G11:G13),2)</f>
        <v>8.42</v>
      </c>
    </row>
    <row r="15" spans="2:7" x14ac:dyDescent="0.2">
      <c r="B15" s="51" t="s">
        <v>211</v>
      </c>
      <c r="C15" s="52"/>
      <c r="D15" s="49"/>
      <c r="E15" s="49"/>
      <c r="F15" s="49"/>
      <c r="G15" s="50"/>
    </row>
    <row r="16" spans="2:7" x14ac:dyDescent="0.2">
      <c r="B16" s="53">
        <v>1</v>
      </c>
      <c r="C16" s="52" t="s">
        <v>212</v>
      </c>
    </row>
  </sheetData>
  <mergeCells count="8">
    <mergeCell ref="B4:G4"/>
    <mergeCell ref="B3:G3"/>
    <mergeCell ref="B2:G2"/>
    <mergeCell ref="B6:G6"/>
    <mergeCell ref="B8:B10"/>
    <mergeCell ref="C8:C10"/>
    <mergeCell ref="E8:G8"/>
    <mergeCell ref="D8:D10"/>
  </mergeCells>
  <pageMargins left="1.4586614170000001" right="0.70866141732283505" top="1.2480314960000001" bottom="0.74803149606299202" header="0.31496062992126" footer="0.31496062992126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9"/>
  <sheetViews>
    <sheetView showGridLines="0" view="pageBreakPreview" topLeftCell="C19" zoomScaleNormal="95" zoomScaleSheetLayoutView="100" workbookViewId="0">
      <selection activeCell="D7" sqref="F7"/>
    </sheetView>
  </sheetViews>
  <sheetFormatPr defaultColWidth="9.28515625" defaultRowHeight="14.25" x14ac:dyDescent="0.2"/>
  <cols>
    <col min="1" max="1" width="6.7109375" style="15" customWidth="1"/>
    <col min="2" max="2" width="7" style="15" customWidth="1"/>
    <col min="3" max="3" width="56.28515625" style="15" customWidth="1"/>
    <col min="4" max="4" width="16" style="15" customWidth="1"/>
    <col min="5" max="16384" width="9.28515625" style="15"/>
  </cols>
  <sheetData>
    <row r="2" spans="2:4" ht="14.25" customHeight="1" x14ac:dyDescent="0.2">
      <c r="B2" s="193" t="s">
        <v>304</v>
      </c>
      <c r="C2" s="193"/>
      <c r="D2" s="193"/>
    </row>
    <row r="3" spans="2:4" ht="14.25" customHeight="1" x14ac:dyDescent="0.2">
      <c r="B3" s="193" t="s">
        <v>346</v>
      </c>
      <c r="C3" s="193"/>
      <c r="D3" s="193"/>
    </row>
    <row r="4" spans="2:4" s="4" customFormat="1" ht="14.25" customHeight="1" x14ac:dyDescent="0.2">
      <c r="B4" s="193" t="s">
        <v>240</v>
      </c>
      <c r="C4" s="193"/>
      <c r="D4" s="193"/>
    </row>
    <row r="5" spans="2:4" s="4" customFormat="1" ht="15" x14ac:dyDescent="0.25">
      <c r="C5" s="42"/>
      <c r="D5" s="43"/>
    </row>
    <row r="6" spans="2:4" x14ac:dyDescent="0.2">
      <c r="D6" s="186" t="s">
        <v>351</v>
      </c>
    </row>
    <row r="7" spans="2:4" ht="12.75" customHeight="1" x14ac:dyDescent="0.2">
      <c r="B7" s="200" t="s">
        <v>2</v>
      </c>
      <c r="C7" s="200" t="s">
        <v>18</v>
      </c>
      <c r="D7" s="17" t="s">
        <v>305</v>
      </c>
    </row>
    <row r="8" spans="2:4" ht="15" x14ac:dyDescent="0.2">
      <c r="B8" s="200"/>
      <c r="C8" s="200"/>
      <c r="D8" s="17" t="s">
        <v>209</v>
      </c>
    </row>
    <row r="9" spans="2:4" ht="15" x14ac:dyDescent="0.2">
      <c r="B9" s="212"/>
      <c r="C9" s="200"/>
      <c r="D9" s="17" t="s">
        <v>12</v>
      </c>
    </row>
    <row r="10" spans="2:4" x14ac:dyDescent="0.2">
      <c r="B10" s="2">
        <v>1</v>
      </c>
      <c r="C10" s="44" t="s">
        <v>61</v>
      </c>
      <c r="D10" s="123">
        <v>4.1363154338548034</v>
      </c>
    </row>
    <row r="11" spans="2:4" x14ac:dyDescent="0.2">
      <c r="B11" s="2">
        <v>2</v>
      </c>
      <c r="C11" s="44" t="s">
        <v>62</v>
      </c>
      <c r="D11" s="123">
        <v>0.33459731716132779</v>
      </c>
    </row>
    <row r="12" spans="2:4" x14ac:dyDescent="0.2">
      <c r="B12" s="2">
        <v>3</v>
      </c>
      <c r="C12" s="3" t="s">
        <v>63</v>
      </c>
      <c r="D12" s="123">
        <v>0.2948211009647112</v>
      </c>
    </row>
    <row r="13" spans="2:4" x14ac:dyDescent="0.2">
      <c r="B13" s="2">
        <v>4</v>
      </c>
      <c r="C13" s="44" t="s">
        <v>64</v>
      </c>
      <c r="D13" s="123">
        <v>3.6630095095633315E-2</v>
      </c>
    </row>
    <row r="14" spans="2:4" x14ac:dyDescent="0.2">
      <c r="B14" s="2">
        <v>5</v>
      </c>
      <c r="C14" s="44" t="s">
        <v>65</v>
      </c>
      <c r="D14" s="123">
        <v>6.5664044309711568E-6</v>
      </c>
    </row>
    <row r="15" spans="2:4" x14ac:dyDescent="0.2">
      <c r="B15" s="2">
        <v>6</v>
      </c>
      <c r="C15" s="3" t="s">
        <v>66</v>
      </c>
      <c r="D15" s="123">
        <v>0.80755554609215596</v>
      </c>
    </row>
    <row r="16" spans="2:4" x14ac:dyDescent="0.2">
      <c r="B16" s="2">
        <v>7</v>
      </c>
      <c r="C16" s="44" t="s">
        <v>67</v>
      </c>
      <c r="D16" s="123">
        <v>0.8495340980849414</v>
      </c>
    </row>
    <row r="17" spans="2:4" x14ac:dyDescent="0.2">
      <c r="B17" s="2">
        <v>8</v>
      </c>
      <c r="C17" s="44" t="s">
        <v>68</v>
      </c>
      <c r="D17" s="123">
        <v>1.3247616278144593E-2</v>
      </c>
    </row>
    <row r="18" spans="2:4" x14ac:dyDescent="0.2">
      <c r="B18" s="2">
        <v>9</v>
      </c>
      <c r="C18" s="44" t="s">
        <v>69</v>
      </c>
      <c r="D18" s="123">
        <v>0</v>
      </c>
    </row>
    <row r="19" spans="2:4" x14ac:dyDescent="0.2">
      <c r="B19" s="2">
        <v>10</v>
      </c>
      <c r="C19" s="44" t="s">
        <v>70</v>
      </c>
      <c r="D19" s="137">
        <v>0</v>
      </c>
    </row>
    <row r="20" spans="2:4" x14ac:dyDescent="0.2">
      <c r="B20" s="2">
        <v>11</v>
      </c>
      <c r="C20" s="44" t="s">
        <v>71</v>
      </c>
      <c r="D20" s="137">
        <v>1.5349199877876909E-5</v>
      </c>
    </row>
    <row r="21" spans="2:4" x14ac:dyDescent="0.2">
      <c r="B21" s="2">
        <v>12</v>
      </c>
      <c r="C21" s="44" t="s">
        <v>72</v>
      </c>
      <c r="D21" s="137">
        <v>6.105429910847928E-2</v>
      </c>
    </row>
    <row r="22" spans="2:4" x14ac:dyDescent="0.2">
      <c r="B22" s="2">
        <v>13</v>
      </c>
      <c r="C22" s="44" t="s">
        <v>73</v>
      </c>
      <c r="D22" s="137">
        <v>0</v>
      </c>
    </row>
    <row r="23" spans="2:4" x14ac:dyDescent="0.2">
      <c r="B23" s="2">
        <v>14</v>
      </c>
      <c r="C23" s="44" t="s">
        <v>74</v>
      </c>
      <c r="D23" s="137">
        <v>0</v>
      </c>
    </row>
    <row r="24" spans="2:4" x14ac:dyDescent="0.2">
      <c r="B24" s="2">
        <v>15</v>
      </c>
      <c r="C24" s="44" t="s">
        <v>75</v>
      </c>
      <c r="D24" s="123">
        <v>0</v>
      </c>
    </row>
    <row r="25" spans="2:4" x14ac:dyDescent="0.2">
      <c r="B25" s="2">
        <v>16</v>
      </c>
      <c r="C25" s="44" t="s">
        <v>76</v>
      </c>
      <c r="D25" s="138">
        <v>0</v>
      </c>
    </row>
    <row r="26" spans="2:4" ht="15" x14ac:dyDescent="0.2">
      <c r="B26" s="2">
        <v>17</v>
      </c>
      <c r="C26" s="44" t="s">
        <v>77</v>
      </c>
      <c r="D26" s="139">
        <f>SUM(D10:D25)</f>
        <v>6.5337774222445066</v>
      </c>
    </row>
    <row r="27" spans="2:4" x14ac:dyDescent="0.2">
      <c r="B27" s="2">
        <v>18</v>
      </c>
      <c r="C27" s="44" t="s">
        <v>78</v>
      </c>
      <c r="D27" s="138">
        <v>0</v>
      </c>
    </row>
    <row r="28" spans="2:4" x14ac:dyDescent="0.2">
      <c r="B28" s="2">
        <f>+B27+0.1</f>
        <v>18.100000000000001</v>
      </c>
      <c r="C28" s="44" t="s">
        <v>79</v>
      </c>
      <c r="D28" s="138">
        <v>0.39894024183275911</v>
      </c>
    </row>
    <row r="29" spans="2:4" x14ac:dyDescent="0.2">
      <c r="B29" s="2">
        <f>+B28+0.1</f>
        <v>18.200000000000003</v>
      </c>
      <c r="C29" s="44" t="s">
        <v>80</v>
      </c>
      <c r="D29" s="138">
        <v>0</v>
      </c>
    </row>
    <row r="30" spans="2:4" x14ac:dyDescent="0.2">
      <c r="B30" s="2">
        <f>+B29+0.1</f>
        <v>18.300000000000004</v>
      </c>
      <c r="C30" s="44" t="s">
        <v>81</v>
      </c>
      <c r="D30" s="138">
        <v>0</v>
      </c>
    </row>
    <row r="31" spans="2:4" x14ac:dyDescent="0.2">
      <c r="B31" s="2">
        <f>+B30+0.1</f>
        <v>18.400000000000006</v>
      </c>
      <c r="C31" s="44" t="s">
        <v>82</v>
      </c>
      <c r="D31" s="123">
        <v>0.98</v>
      </c>
    </row>
    <row r="32" spans="2:4" x14ac:dyDescent="0.2">
      <c r="B32" s="2">
        <v>19</v>
      </c>
      <c r="C32" s="48" t="s">
        <v>297</v>
      </c>
      <c r="D32" s="123">
        <v>0</v>
      </c>
    </row>
    <row r="33" spans="2:4" x14ac:dyDescent="0.2">
      <c r="B33" s="2">
        <v>20</v>
      </c>
      <c r="C33" s="44" t="s">
        <v>83</v>
      </c>
      <c r="D33" s="123">
        <v>0</v>
      </c>
    </row>
    <row r="34" spans="2:4" ht="15" x14ac:dyDescent="0.25">
      <c r="B34" s="16">
        <v>21</v>
      </c>
      <c r="C34" s="45" t="s">
        <v>84</v>
      </c>
      <c r="D34" s="125">
        <f>SUM(D26:D33)</f>
        <v>7.912717664077265</v>
      </c>
    </row>
    <row r="35" spans="2:4" x14ac:dyDescent="0.2">
      <c r="B35" s="2">
        <v>22</v>
      </c>
      <c r="C35" s="44" t="s">
        <v>17</v>
      </c>
      <c r="D35" s="123">
        <v>0</v>
      </c>
    </row>
    <row r="36" spans="2:4" ht="15" x14ac:dyDescent="0.2">
      <c r="B36" s="16">
        <v>23</v>
      </c>
      <c r="C36" s="21" t="s">
        <v>85</v>
      </c>
      <c r="D36" s="111">
        <f>D34-D35</f>
        <v>7.912717664077265</v>
      </c>
    </row>
    <row r="38" spans="2:4" ht="15" x14ac:dyDescent="0.2">
      <c r="B38" s="46"/>
      <c r="D38" s="146"/>
    </row>
    <row r="39" spans="2:4" x14ac:dyDescent="0.2">
      <c r="B39" s="47"/>
    </row>
  </sheetData>
  <mergeCells count="5">
    <mergeCell ref="B4:D4"/>
    <mergeCell ref="B3:D3"/>
    <mergeCell ref="B2:D2"/>
    <mergeCell ref="B7:B9"/>
    <mergeCell ref="C7:C9"/>
  </mergeCells>
  <pageMargins left="0.25" right="0.25" top="0.25" bottom="0.25" header="0.25" footer="0.25"/>
  <pageSetup paperSize="9" scale="95" fitToHeight="0" orientation="landscape" r:id="rId1"/>
  <headerFooter alignWithMargins="0"/>
  <rowBreaks count="1" manualBreakCount="1">
    <brk id="3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40"/>
  <sheetViews>
    <sheetView showGridLines="0" view="pageBreakPreview" topLeftCell="D24" zoomScale="118" zoomScaleSheetLayoutView="118" workbookViewId="0">
      <selection activeCell="D7" sqref="F7"/>
    </sheetView>
  </sheetViews>
  <sheetFormatPr defaultColWidth="9.28515625" defaultRowHeight="14.25" x14ac:dyDescent="0.2"/>
  <cols>
    <col min="1" max="1" width="2" style="15" customWidth="1"/>
    <col min="2" max="2" width="7" style="15" customWidth="1"/>
    <col min="3" max="3" width="50.28515625" style="15" customWidth="1"/>
    <col min="4" max="4" width="15.7109375" style="15" customWidth="1"/>
    <col min="5" max="16384" width="9.28515625" style="15"/>
  </cols>
  <sheetData>
    <row r="2" spans="2:4" ht="14.25" customHeight="1" x14ac:dyDescent="0.2">
      <c r="B2" s="193" t="s">
        <v>304</v>
      </c>
      <c r="C2" s="193"/>
      <c r="D2" s="193"/>
    </row>
    <row r="3" spans="2:4" ht="14.25" customHeight="1" x14ac:dyDescent="0.2">
      <c r="B3" s="193" t="s">
        <v>346</v>
      </c>
      <c r="C3" s="193"/>
      <c r="D3" s="193"/>
    </row>
    <row r="4" spans="2:4" s="4" customFormat="1" ht="15" x14ac:dyDescent="0.2">
      <c r="B4" s="193" t="s">
        <v>308</v>
      </c>
      <c r="C4" s="193"/>
      <c r="D4" s="193"/>
    </row>
    <row r="6" spans="2:4" x14ac:dyDescent="0.2">
      <c r="D6" s="186" t="s">
        <v>351</v>
      </c>
    </row>
    <row r="7" spans="2:4" ht="12.75" customHeight="1" x14ac:dyDescent="0.2">
      <c r="B7" s="202" t="s">
        <v>167</v>
      </c>
      <c r="C7" s="200" t="s">
        <v>18</v>
      </c>
      <c r="D7" s="17" t="s">
        <v>305</v>
      </c>
    </row>
    <row r="8" spans="2:4" ht="15" x14ac:dyDescent="0.2">
      <c r="B8" s="202"/>
      <c r="C8" s="200"/>
      <c r="D8" s="17" t="s">
        <v>209</v>
      </c>
    </row>
    <row r="9" spans="2:4" ht="15" customHeight="1" x14ac:dyDescent="0.2">
      <c r="B9" s="202"/>
      <c r="C9" s="200"/>
      <c r="D9" s="17" t="s">
        <v>12</v>
      </c>
    </row>
    <row r="10" spans="2:4" x14ac:dyDescent="0.2">
      <c r="B10" s="3">
        <v>1</v>
      </c>
      <c r="C10" s="54" t="s">
        <v>86</v>
      </c>
      <c r="D10" s="123">
        <v>1.2216281988488405E-2</v>
      </c>
    </row>
    <row r="11" spans="2:4" x14ac:dyDescent="0.2">
      <c r="B11" s="3">
        <v>2</v>
      </c>
      <c r="C11" s="55" t="s">
        <v>87</v>
      </c>
      <c r="D11" s="123">
        <v>2.7048998926855201E-4</v>
      </c>
    </row>
    <row r="12" spans="2:4" x14ac:dyDescent="0.2">
      <c r="B12" s="3">
        <v>3</v>
      </c>
      <c r="C12" s="55" t="s">
        <v>88</v>
      </c>
      <c r="D12" s="123">
        <v>3.376987455753099E-3</v>
      </c>
    </row>
    <row r="13" spans="2:4" x14ac:dyDescent="0.2">
      <c r="B13" s="3">
        <v>4</v>
      </c>
      <c r="C13" s="55" t="s">
        <v>89</v>
      </c>
      <c r="D13" s="123">
        <v>1.6205249128022623E-3</v>
      </c>
    </row>
    <row r="14" spans="2:4" x14ac:dyDescent="0.2">
      <c r="B14" s="3">
        <v>5</v>
      </c>
      <c r="C14" s="55" t="s">
        <v>90</v>
      </c>
      <c r="D14" s="123">
        <v>2.3737403712418623E-4</v>
      </c>
    </row>
    <row r="15" spans="2:4" x14ac:dyDescent="0.2">
      <c r="B15" s="3">
        <v>6</v>
      </c>
      <c r="C15" s="55" t="s">
        <v>91</v>
      </c>
      <c r="D15" s="123">
        <v>4.9962864867119832E-3</v>
      </c>
    </row>
    <row r="16" spans="2:4" x14ac:dyDescent="0.2">
      <c r="B16" s="3">
        <v>7</v>
      </c>
      <c r="C16" s="55" t="s">
        <v>92</v>
      </c>
      <c r="D16" s="123">
        <v>2.418755691551135E-2</v>
      </c>
    </row>
    <row r="17" spans="2:4" x14ac:dyDescent="0.2">
      <c r="B17" s="3">
        <v>8</v>
      </c>
      <c r="C17" s="55" t="s">
        <v>93</v>
      </c>
      <c r="D17" s="123">
        <v>3.1010667667911541E-5</v>
      </c>
    </row>
    <row r="18" spans="2:4" x14ac:dyDescent="0.2">
      <c r="B18" s="3">
        <v>9</v>
      </c>
      <c r="C18" s="55" t="s">
        <v>94</v>
      </c>
      <c r="D18" s="123">
        <v>9.2251068622181534E-2</v>
      </c>
    </row>
    <row r="19" spans="2:4" x14ac:dyDescent="0.2">
      <c r="B19" s="3">
        <v>10</v>
      </c>
      <c r="C19" s="55" t="s">
        <v>95</v>
      </c>
      <c r="D19" s="123">
        <v>3.5430420092534863E-4</v>
      </c>
    </row>
    <row r="20" spans="2:4" x14ac:dyDescent="0.2">
      <c r="B20" s="3">
        <v>11</v>
      </c>
      <c r="C20" s="55" t="s">
        <v>96</v>
      </c>
      <c r="D20" s="123">
        <v>1.5798071318651834E-6</v>
      </c>
    </row>
    <row r="21" spans="2:4" x14ac:dyDescent="0.2">
      <c r="B21" s="3">
        <v>12</v>
      </c>
      <c r="C21" s="55" t="s">
        <v>97</v>
      </c>
      <c r="D21" s="123">
        <v>0</v>
      </c>
    </row>
    <row r="22" spans="2:4" x14ac:dyDescent="0.2">
      <c r="B22" s="3">
        <v>13</v>
      </c>
      <c r="C22" s="55" t="s">
        <v>98</v>
      </c>
      <c r="D22" s="123">
        <v>4.3171030967629115E-4</v>
      </c>
    </row>
    <row r="23" spans="2:4" x14ac:dyDescent="0.2">
      <c r="B23" s="3">
        <v>14</v>
      </c>
      <c r="C23" s="55" t="s">
        <v>99</v>
      </c>
      <c r="D23" s="123">
        <v>3.9072227133530495E-4</v>
      </c>
    </row>
    <row r="24" spans="2:4" x14ac:dyDescent="0.2">
      <c r="B24" s="3">
        <v>15</v>
      </c>
      <c r="C24" s="55" t="s">
        <v>100</v>
      </c>
      <c r="D24" s="123">
        <v>0</v>
      </c>
    </row>
    <row r="25" spans="2:4" x14ac:dyDescent="0.2">
      <c r="B25" s="3">
        <v>16</v>
      </c>
      <c r="C25" s="54" t="s">
        <v>101</v>
      </c>
      <c r="D25" s="123">
        <v>0</v>
      </c>
    </row>
    <row r="26" spans="2:4" x14ac:dyDescent="0.2">
      <c r="B26" s="3">
        <v>17</v>
      </c>
      <c r="C26" s="54" t="s">
        <v>102</v>
      </c>
      <c r="D26" s="123">
        <v>0</v>
      </c>
    </row>
    <row r="27" spans="2:4" x14ac:dyDescent="0.2">
      <c r="B27" s="3">
        <v>18</v>
      </c>
      <c r="C27" s="55" t="s">
        <v>103</v>
      </c>
      <c r="D27" s="123">
        <v>2.1081430208372302E-3</v>
      </c>
    </row>
    <row r="28" spans="2:4" x14ac:dyDescent="0.2">
      <c r="B28" s="3">
        <v>19</v>
      </c>
      <c r="C28" s="55" t="s">
        <v>104</v>
      </c>
      <c r="D28" s="123">
        <v>6.1549823472369619E-2</v>
      </c>
    </row>
    <row r="29" spans="2:4" x14ac:dyDescent="0.2">
      <c r="B29" s="3">
        <v>20</v>
      </c>
      <c r="C29" s="55" t="s">
        <v>105</v>
      </c>
      <c r="D29" s="123">
        <v>0</v>
      </c>
    </row>
    <row r="30" spans="2:4" x14ac:dyDescent="0.2">
      <c r="B30" s="3">
        <v>21</v>
      </c>
      <c r="C30" s="55" t="s">
        <v>106</v>
      </c>
      <c r="D30" s="123">
        <v>0</v>
      </c>
    </row>
    <row r="31" spans="2:4" x14ac:dyDescent="0.2">
      <c r="B31" s="3">
        <v>22</v>
      </c>
      <c r="C31" s="55" t="s">
        <v>107</v>
      </c>
      <c r="D31" s="123">
        <v>0</v>
      </c>
    </row>
    <row r="32" spans="2:4" x14ac:dyDescent="0.2">
      <c r="B32" s="3">
        <v>23</v>
      </c>
      <c r="C32" s="55" t="s">
        <v>108</v>
      </c>
      <c r="D32" s="123">
        <v>0</v>
      </c>
    </row>
    <row r="33" spans="2:4" x14ac:dyDescent="0.2">
      <c r="B33" s="3">
        <v>24</v>
      </c>
      <c r="C33" s="55" t="s">
        <v>109</v>
      </c>
      <c r="D33" s="123">
        <v>7.5279546985625861E-4</v>
      </c>
    </row>
    <row r="34" spans="2:4" x14ac:dyDescent="0.2">
      <c r="B34" s="3">
        <v>25</v>
      </c>
      <c r="C34" s="55" t="s">
        <v>110</v>
      </c>
      <c r="D34" s="123">
        <v>0</v>
      </c>
    </row>
    <row r="35" spans="2:4" x14ac:dyDescent="0.2">
      <c r="B35" s="3">
        <v>26</v>
      </c>
      <c r="C35" s="55" t="s">
        <v>111</v>
      </c>
      <c r="D35" s="123">
        <v>0</v>
      </c>
    </row>
    <row r="36" spans="2:4" x14ac:dyDescent="0.2">
      <c r="B36" s="3">
        <v>27</v>
      </c>
      <c r="C36" s="55" t="s">
        <v>112</v>
      </c>
      <c r="D36" s="123">
        <v>0</v>
      </c>
    </row>
    <row r="37" spans="2:4" x14ac:dyDescent="0.2">
      <c r="B37" s="3">
        <v>28</v>
      </c>
      <c r="C37" s="55" t="s">
        <v>83</v>
      </c>
      <c r="D37" s="123">
        <v>2.296232095480993E-2</v>
      </c>
    </row>
    <row r="38" spans="2:4" ht="15" x14ac:dyDescent="0.25">
      <c r="B38" s="3">
        <v>29</v>
      </c>
      <c r="C38" s="56" t="s">
        <v>113</v>
      </c>
      <c r="D38" s="111">
        <f>SUM(D10:D37)</f>
        <v>0.22773898058245112</v>
      </c>
    </row>
    <row r="39" spans="2:4" x14ac:dyDescent="0.2">
      <c r="B39" s="3">
        <v>30</v>
      </c>
      <c r="C39" s="44" t="s">
        <v>17</v>
      </c>
      <c r="D39" s="123"/>
    </row>
    <row r="40" spans="2:4" ht="15" x14ac:dyDescent="0.2">
      <c r="B40" s="3">
        <v>31</v>
      </c>
      <c r="C40" s="21" t="s">
        <v>114</v>
      </c>
      <c r="D40" s="111">
        <f>D38-D39</f>
        <v>0.22773898058245112</v>
      </c>
    </row>
  </sheetData>
  <mergeCells count="5">
    <mergeCell ref="B4:D4"/>
    <mergeCell ref="B3:D3"/>
    <mergeCell ref="B2:D2"/>
    <mergeCell ref="B7:B9"/>
    <mergeCell ref="C7:C9"/>
  </mergeCells>
  <pageMargins left="1" right="0.25" top="0.25" bottom="0.25" header="0.5" footer="0.5"/>
  <pageSetup paperSize="9" fitToWidth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2"/>
  <sheetViews>
    <sheetView showGridLines="0" view="pageBreakPreview" zoomScaleNormal="98" zoomScaleSheetLayoutView="100" workbookViewId="0">
      <selection activeCell="D7" sqref="F7"/>
    </sheetView>
  </sheetViews>
  <sheetFormatPr defaultColWidth="9.28515625" defaultRowHeight="14.25" x14ac:dyDescent="0.2"/>
  <cols>
    <col min="1" max="1" width="4.5703125" style="15" customWidth="1"/>
    <col min="2" max="2" width="8.7109375" style="57" customWidth="1"/>
    <col min="3" max="3" width="45.7109375" style="15" customWidth="1"/>
    <col min="4" max="4" width="15.7109375" style="15" customWidth="1"/>
    <col min="5" max="16384" width="9.28515625" style="15"/>
  </cols>
  <sheetData>
    <row r="2" spans="2:4" ht="14.25" customHeight="1" x14ac:dyDescent="0.2">
      <c r="B2" s="193" t="s">
        <v>304</v>
      </c>
      <c r="C2" s="193"/>
      <c r="D2" s="193"/>
    </row>
    <row r="3" spans="2:4" ht="14.25" customHeight="1" x14ac:dyDescent="0.2">
      <c r="B3" s="193" t="s">
        <v>346</v>
      </c>
      <c r="C3" s="193"/>
      <c r="D3" s="193"/>
    </row>
    <row r="4" spans="2:4" s="4" customFormat="1" ht="14.25" customHeight="1" x14ac:dyDescent="0.2">
      <c r="B4" s="193" t="s">
        <v>241</v>
      </c>
      <c r="C4" s="193"/>
      <c r="D4" s="193"/>
    </row>
    <row r="6" spans="2:4" x14ac:dyDescent="0.2">
      <c r="D6" s="186" t="s">
        <v>351</v>
      </c>
    </row>
    <row r="7" spans="2:4" ht="12.75" customHeight="1" x14ac:dyDescent="0.2">
      <c r="B7" s="202" t="s">
        <v>167</v>
      </c>
      <c r="C7" s="200" t="s">
        <v>18</v>
      </c>
      <c r="D7" s="17" t="s">
        <v>305</v>
      </c>
    </row>
    <row r="8" spans="2:4" ht="15" x14ac:dyDescent="0.2">
      <c r="B8" s="202"/>
      <c r="C8" s="200"/>
      <c r="D8" s="17" t="s">
        <v>209</v>
      </c>
    </row>
    <row r="9" spans="2:4" ht="15" customHeight="1" x14ac:dyDescent="0.2">
      <c r="B9" s="202"/>
      <c r="C9" s="200"/>
      <c r="D9" s="17" t="s">
        <v>12</v>
      </c>
    </row>
    <row r="10" spans="2:4" x14ac:dyDescent="0.2">
      <c r="B10" s="2">
        <v>1</v>
      </c>
      <c r="C10" s="55" t="s">
        <v>115</v>
      </c>
      <c r="D10" s="123">
        <v>0.13170801021610859</v>
      </c>
    </row>
    <row r="11" spans="2:4" x14ac:dyDescent="0.2">
      <c r="B11" s="2">
        <v>2</v>
      </c>
      <c r="C11" s="55" t="s">
        <v>116</v>
      </c>
      <c r="D11" s="123">
        <v>0</v>
      </c>
    </row>
    <row r="12" spans="2:4" x14ac:dyDescent="0.2">
      <c r="B12" s="2">
        <v>3</v>
      </c>
      <c r="C12" s="55" t="s">
        <v>117</v>
      </c>
      <c r="D12" s="123">
        <v>0.11396952846782257</v>
      </c>
    </row>
    <row r="13" spans="2:4" x14ac:dyDescent="0.2">
      <c r="B13" s="2">
        <v>4</v>
      </c>
      <c r="C13" s="55" t="s">
        <v>118</v>
      </c>
      <c r="D13" s="123">
        <v>6.9220217167405779E-3</v>
      </c>
    </row>
    <row r="14" spans="2:4" x14ac:dyDescent="0.2">
      <c r="B14" s="2">
        <v>5</v>
      </c>
      <c r="C14" s="55" t="s">
        <v>119</v>
      </c>
      <c r="D14" s="123">
        <v>2.3156899332173162E-2</v>
      </c>
    </row>
    <row r="15" spans="2:4" x14ac:dyDescent="0.2">
      <c r="B15" s="2">
        <v>6</v>
      </c>
      <c r="C15" s="55" t="s">
        <v>120</v>
      </c>
      <c r="D15" s="123">
        <v>1.8467398759648803E-5</v>
      </c>
    </row>
    <row r="16" spans="2:4" x14ac:dyDescent="0.2">
      <c r="B16" s="2">
        <v>7</v>
      </c>
      <c r="C16" s="55" t="s">
        <v>121</v>
      </c>
      <c r="D16" s="123">
        <v>0</v>
      </c>
    </row>
    <row r="17" spans="2:4" x14ac:dyDescent="0.2">
      <c r="B17" s="2">
        <v>8</v>
      </c>
      <c r="C17" s="55" t="s">
        <v>122</v>
      </c>
      <c r="D17" s="123">
        <v>7.7056471089742033E-3</v>
      </c>
    </row>
    <row r="18" spans="2:4" ht="15" x14ac:dyDescent="0.25">
      <c r="B18" s="2">
        <v>9</v>
      </c>
      <c r="C18" s="56" t="s">
        <v>123</v>
      </c>
      <c r="D18" s="111">
        <f>SUM(D10:D17)</f>
        <v>0.28348057424057876</v>
      </c>
    </row>
    <row r="19" spans="2:4" x14ac:dyDescent="0.2">
      <c r="B19" s="2"/>
      <c r="C19" s="54"/>
      <c r="D19" s="3"/>
    </row>
    <row r="20" spans="2:4" ht="15" x14ac:dyDescent="0.2">
      <c r="B20" s="2">
        <v>10</v>
      </c>
      <c r="C20" s="58" t="s">
        <v>124</v>
      </c>
      <c r="D20" s="111">
        <f>'F4'!F22</f>
        <v>31.23</v>
      </c>
    </row>
    <row r="21" spans="2:4" ht="28.5" x14ac:dyDescent="0.2">
      <c r="B21" s="2">
        <v>11</v>
      </c>
      <c r="C21" s="58" t="s">
        <v>125</v>
      </c>
      <c r="D21" s="124">
        <f>IFERROR(D18/D20,0)</f>
        <v>9.0771877758750799E-3</v>
      </c>
    </row>
    <row r="22" spans="2:4" x14ac:dyDescent="0.2">
      <c r="B22" s="2"/>
      <c r="C22" s="54"/>
      <c r="D22" s="3"/>
    </row>
  </sheetData>
  <mergeCells count="5">
    <mergeCell ref="B4:D4"/>
    <mergeCell ref="B3:D3"/>
    <mergeCell ref="B2:D2"/>
    <mergeCell ref="B7:B9"/>
    <mergeCell ref="C7:C9"/>
  </mergeCells>
  <pageMargins left="0.5" right="0.5" top="1" bottom="1" header="0.5" footer="0.5"/>
  <pageSetup paperSize="9" scale="11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showGridLines="0" view="pageBreakPreview" topLeftCell="A7" zoomScale="90" zoomScaleNormal="118" zoomScaleSheetLayoutView="90" workbookViewId="0">
      <selection activeCell="D7" sqref="F7"/>
    </sheetView>
  </sheetViews>
  <sheetFormatPr defaultColWidth="9.28515625" defaultRowHeight="14.25" x14ac:dyDescent="0.2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1.7109375" style="4" bestFit="1" customWidth="1"/>
    <col min="8" max="16384" width="9.28515625" style="4"/>
  </cols>
  <sheetData>
    <row r="1" spans="2:7" ht="15" x14ac:dyDescent="0.25">
      <c r="B1" s="59"/>
    </row>
    <row r="2" spans="2:7" ht="14.25" customHeight="1" x14ac:dyDescent="0.2">
      <c r="B2" s="193" t="s">
        <v>304</v>
      </c>
      <c r="C2" s="193"/>
      <c r="D2" s="193"/>
      <c r="E2" s="193"/>
      <c r="F2" s="193"/>
      <c r="G2" s="193"/>
    </row>
    <row r="3" spans="2:7" ht="14.25" customHeight="1" x14ac:dyDescent="0.2">
      <c r="B3" s="193" t="s">
        <v>346</v>
      </c>
      <c r="C3" s="193"/>
      <c r="D3" s="193"/>
      <c r="E3" s="193"/>
      <c r="F3" s="193"/>
      <c r="G3" s="193"/>
    </row>
    <row r="4" spans="2:7" ht="14.25" customHeight="1" x14ac:dyDescent="0.2">
      <c r="B4" s="193" t="s">
        <v>242</v>
      </c>
      <c r="C4" s="193"/>
      <c r="D4" s="193"/>
      <c r="E4" s="193"/>
      <c r="F4" s="193"/>
    </row>
    <row r="5" spans="2:7" ht="15" x14ac:dyDescent="0.25">
      <c r="B5" s="38"/>
      <c r="C5" s="60"/>
      <c r="D5" s="60"/>
      <c r="E5" s="60"/>
      <c r="F5" s="60"/>
    </row>
    <row r="6" spans="2:7" x14ac:dyDescent="0.2">
      <c r="F6" s="187" t="s">
        <v>352</v>
      </c>
    </row>
    <row r="7" spans="2:7" s="15" customFormat="1" ht="15" customHeight="1" x14ac:dyDescent="0.2">
      <c r="B7" s="197" t="s">
        <v>167</v>
      </c>
      <c r="C7" s="200" t="s">
        <v>18</v>
      </c>
      <c r="D7" s="204" t="s">
        <v>305</v>
      </c>
      <c r="E7" s="205"/>
      <c r="F7" s="206"/>
    </row>
    <row r="8" spans="2:7" s="15" customFormat="1" ht="45" x14ac:dyDescent="0.2">
      <c r="B8" s="198"/>
      <c r="C8" s="200"/>
      <c r="D8" s="17" t="s">
        <v>278</v>
      </c>
      <c r="E8" s="17" t="s">
        <v>209</v>
      </c>
      <c r="F8" s="17" t="s">
        <v>181</v>
      </c>
    </row>
    <row r="9" spans="2:7" s="15" customFormat="1" ht="15" x14ac:dyDescent="0.2">
      <c r="B9" s="199"/>
      <c r="C9" s="201"/>
      <c r="D9" s="17" t="s">
        <v>10</v>
      </c>
      <c r="E9" s="17" t="s">
        <v>12</v>
      </c>
      <c r="F9" s="17" t="s">
        <v>201</v>
      </c>
    </row>
    <row r="10" spans="2:7" s="5" customFormat="1" x14ac:dyDescent="0.2">
      <c r="B10" s="62">
        <v>1</v>
      </c>
      <c r="C10" s="28" t="s">
        <v>213</v>
      </c>
      <c r="D10" s="2"/>
      <c r="E10" s="28"/>
      <c r="F10" s="28"/>
    </row>
    <row r="11" spans="2:7" s="5" customFormat="1" x14ac:dyDescent="0.2">
      <c r="B11" s="22">
        <v>2</v>
      </c>
      <c r="C11" s="28" t="s">
        <v>245</v>
      </c>
      <c r="D11" s="2"/>
      <c r="E11" s="108">
        <v>0.04</v>
      </c>
      <c r="F11" s="108">
        <f>E11</f>
        <v>0.04</v>
      </c>
    </row>
    <row r="12" spans="2:7" s="5" customFormat="1" ht="15" x14ac:dyDescent="0.2">
      <c r="B12" s="22">
        <v>3</v>
      </c>
      <c r="C12" s="30" t="s">
        <v>195</v>
      </c>
      <c r="D12" s="121"/>
      <c r="E12" s="127">
        <f>F3.1!H12</f>
        <v>0.04</v>
      </c>
      <c r="F12" s="127">
        <f>E12</f>
        <v>0.04</v>
      </c>
    </row>
    <row r="13" spans="2:7" s="5" customFormat="1" ht="15" x14ac:dyDescent="0.2">
      <c r="B13" s="22">
        <v>4</v>
      </c>
      <c r="C13" s="28" t="s">
        <v>214</v>
      </c>
      <c r="D13" s="122">
        <f>D10+D11-D12</f>
        <v>0</v>
      </c>
      <c r="E13" s="122">
        <f>E10+E11-E12</f>
        <v>0</v>
      </c>
      <c r="F13" s="122">
        <f>F10+F11-F12</f>
        <v>0</v>
      </c>
    </row>
    <row r="14" spans="2:7" s="34" customFormat="1" ht="15" x14ac:dyDescent="0.2">
      <c r="B14" s="63"/>
      <c r="C14" s="51"/>
      <c r="D14" s="61"/>
      <c r="E14" s="61"/>
      <c r="F14" s="61"/>
    </row>
    <row r="16" spans="2:7" x14ac:dyDescent="0.2">
      <c r="B16" s="64"/>
    </row>
  </sheetData>
  <mergeCells count="6">
    <mergeCell ref="B7:B9"/>
    <mergeCell ref="C7:C9"/>
    <mergeCell ref="D7:F7"/>
    <mergeCell ref="B2:G2"/>
    <mergeCell ref="B3:G3"/>
    <mergeCell ref="B4:F4"/>
  </mergeCells>
  <pageMargins left="1.02" right="0.25" top="1" bottom="1" header="0.25" footer="0.25"/>
  <pageSetup paperSize="9" scale="12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3"/>
  <sheetViews>
    <sheetView showGridLines="0" showRuler="0" view="pageBreakPreview" topLeftCell="D1" zoomScale="80" zoomScaleNormal="106" zoomScaleSheetLayoutView="80" zoomScalePageLayoutView="78" workbookViewId="0">
      <selection activeCell="D7" sqref="F7"/>
    </sheetView>
  </sheetViews>
  <sheetFormatPr defaultColWidth="9.28515625" defaultRowHeight="14.25" x14ac:dyDescent="0.2"/>
  <cols>
    <col min="1" max="1" width="4.28515625" style="5" customWidth="1"/>
    <col min="2" max="2" width="6.28515625" style="5" customWidth="1"/>
    <col min="3" max="3" width="16.140625" style="5" customWidth="1"/>
    <col min="4" max="4" width="21.28515625" style="5" customWidth="1"/>
    <col min="5" max="5" width="22.85546875" style="5" customWidth="1"/>
    <col min="6" max="6" width="20.140625" style="5" customWidth="1"/>
    <col min="7" max="7" width="22" style="5" customWidth="1"/>
    <col min="8" max="8" width="17.7109375" style="5" customWidth="1"/>
    <col min="9" max="9" width="35" style="5" customWidth="1"/>
    <col min="10" max="10" width="16.42578125" style="5" customWidth="1"/>
    <col min="11" max="11" width="37" style="5" customWidth="1"/>
    <col min="12" max="12" width="15.28515625" style="5" customWidth="1"/>
    <col min="13" max="13" width="13.28515625" style="5" bestFit="1" customWidth="1"/>
    <col min="14" max="16384" width="9.28515625" style="5"/>
  </cols>
  <sheetData>
    <row r="1" spans="2:13" ht="15" x14ac:dyDescent="0.2">
      <c r="B1" s="26"/>
    </row>
    <row r="2" spans="2:13" ht="15" x14ac:dyDescent="0.2">
      <c r="H2" s="34" t="s">
        <v>304</v>
      </c>
      <c r="I2" s="35"/>
    </row>
    <row r="3" spans="2:13" ht="15" x14ac:dyDescent="0.2">
      <c r="H3" s="34" t="s">
        <v>349</v>
      </c>
      <c r="I3" s="35"/>
    </row>
    <row r="4" spans="2:13" ht="15" x14ac:dyDescent="0.2">
      <c r="H4" s="37" t="s">
        <v>243</v>
      </c>
      <c r="I4" s="37"/>
    </row>
    <row r="5" spans="2:13" ht="15" x14ac:dyDescent="0.2">
      <c r="K5" s="37"/>
      <c r="L5" s="186" t="s">
        <v>351</v>
      </c>
    </row>
    <row r="6" spans="2:13" ht="60" x14ac:dyDescent="0.2">
      <c r="B6" s="17" t="s">
        <v>167</v>
      </c>
      <c r="C6" s="25" t="s">
        <v>215</v>
      </c>
      <c r="D6" s="32" t="s">
        <v>217</v>
      </c>
      <c r="E6" s="25" t="s">
        <v>216</v>
      </c>
      <c r="F6" s="32" t="s">
        <v>219</v>
      </c>
      <c r="G6" s="32" t="s">
        <v>222</v>
      </c>
      <c r="H6" s="32" t="s">
        <v>223</v>
      </c>
      <c r="I6" s="32" t="s">
        <v>236</v>
      </c>
      <c r="J6" s="25" t="s">
        <v>218</v>
      </c>
      <c r="K6" s="32" t="s">
        <v>224</v>
      </c>
      <c r="L6" s="32" t="s">
        <v>161</v>
      </c>
      <c r="M6" s="27"/>
    </row>
    <row r="7" spans="2:13" s="34" customFormat="1" ht="15" x14ac:dyDescent="0.2">
      <c r="B7" s="22"/>
      <c r="C7" s="32" t="s">
        <v>305</v>
      </c>
      <c r="D7" s="31"/>
      <c r="E7" s="31"/>
      <c r="F7" s="31"/>
      <c r="G7" s="31"/>
      <c r="H7" s="31"/>
      <c r="I7" s="31"/>
      <c r="J7" s="31"/>
      <c r="K7" s="32"/>
      <c r="L7" s="33"/>
      <c r="M7" s="26"/>
    </row>
    <row r="8" spans="2:13" x14ac:dyDescent="0.2">
      <c r="B8" s="22">
        <v>1</v>
      </c>
      <c r="C8" s="22"/>
      <c r="D8" s="28"/>
      <c r="E8" s="28" t="s">
        <v>310</v>
      </c>
      <c r="F8" s="120"/>
      <c r="G8" s="120"/>
      <c r="H8" s="120"/>
      <c r="I8" s="28" t="s">
        <v>310</v>
      </c>
      <c r="J8" s="28"/>
      <c r="K8" s="28"/>
      <c r="L8" s="28"/>
    </row>
    <row r="9" spans="2:13" x14ac:dyDescent="0.2">
      <c r="B9" s="22">
        <v>2</v>
      </c>
      <c r="C9" s="22"/>
      <c r="D9" s="28"/>
      <c r="E9" s="28" t="s">
        <v>311</v>
      </c>
      <c r="F9" s="120"/>
      <c r="G9" s="120"/>
      <c r="H9" s="120"/>
      <c r="I9" s="28" t="s">
        <v>311</v>
      </c>
      <c r="J9" s="28"/>
      <c r="K9" s="28"/>
      <c r="L9" s="28"/>
    </row>
    <row r="10" spans="2:13" x14ac:dyDescent="0.2">
      <c r="B10" s="22">
        <v>3</v>
      </c>
      <c r="C10" s="22"/>
      <c r="D10" s="28"/>
      <c r="E10" s="120"/>
      <c r="F10" s="120"/>
      <c r="G10" s="120"/>
      <c r="H10" s="120"/>
      <c r="I10" s="28"/>
      <c r="J10" s="28"/>
      <c r="K10" s="28"/>
      <c r="L10" s="28"/>
    </row>
    <row r="11" spans="2:13" x14ac:dyDescent="0.2">
      <c r="B11" s="28"/>
      <c r="C11" s="28" t="s">
        <v>9</v>
      </c>
      <c r="D11" s="28"/>
      <c r="E11" s="28"/>
      <c r="F11" s="28"/>
      <c r="G11" s="28">
        <v>0.04</v>
      </c>
      <c r="H11" s="28">
        <v>0.04</v>
      </c>
      <c r="I11" s="28"/>
      <c r="J11" s="28"/>
      <c r="K11" s="28"/>
      <c r="L11" s="28"/>
    </row>
    <row r="12" spans="2:13" ht="15" x14ac:dyDescent="0.2">
      <c r="B12" s="28"/>
      <c r="C12" s="25" t="s">
        <v>127</v>
      </c>
      <c r="D12" s="130"/>
      <c r="E12" s="120"/>
      <c r="F12" s="112">
        <f>SUM(F8:F11)</f>
        <v>0</v>
      </c>
      <c r="G12" s="112">
        <f>ROUND(SUM(G8:G11),2)</f>
        <v>0.04</v>
      </c>
      <c r="H12" s="112">
        <f>ROUND(SUM(H8:H11),2)</f>
        <v>0.04</v>
      </c>
      <c r="I12" s="28"/>
      <c r="J12" s="28"/>
      <c r="K12" s="28"/>
      <c r="L12" s="28"/>
    </row>
    <row r="13" spans="2:13" x14ac:dyDescent="0.2">
      <c r="B13" s="63" t="s">
        <v>220</v>
      </c>
      <c r="C13" s="52" t="s">
        <v>221</v>
      </c>
    </row>
  </sheetData>
  <pageMargins left="0.27" right="0.25" top="1.5" bottom="1" header="0.25" footer="0.25"/>
  <pageSetup paperSize="9" scale="6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showGridLines="0" view="pageBreakPreview" zoomScale="95" zoomScaleSheetLayoutView="95" workbookViewId="0">
      <selection activeCell="D7" sqref="F7"/>
    </sheetView>
  </sheetViews>
  <sheetFormatPr defaultColWidth="9.28515625" defaultRowHeight="14.25" x14ac:dyDescent="0.2"/>
  <cols>
    <col min="1" max="2" width="9.28515625" style="88"/>
    <col min="3" max="3" width="42" style="88" customWidth="1"/>
    <col min="4" max="4" width="16.28515625" style="88" customWidth="1"/>
    <col min="5" max="16384" width="9.28515625" style="88"/>
  </cols>
  <sheetData>
    <row r="2" spans="2:4" ht="14.25" customHeight="1" x14ac:dyDescent="0.2">
      <c r="B2" s="193" t="s">
        <v>304</v>
      </c>
      <c r="C2" s="193"/>
      <c r="D2" s="193"/>
    </row>
    <row r="3" spans="2:4" ht="14.25" customHeight="1" x14ac:dyDescent="0.2">
      <c r="B3" s="193" t="s">
        <v>346</v>
      </c>
      <c r="C3" s="193"/>
      <c r="D3" s="193"/>
    </row>
    <row r="4" spans="2:4" ht="14.25" customHeight="1" x14ac:dyDescent="0.2">
      <c r="B4" s="193" t="s">
        <v>269</v>
      </c>
      <c r="C4" s="193"/>
      <c r="D4" s="193"/>
    </row>
    <row r="5" spans="2:4" x14ac:dyDescent="0.2">
      <c r="D5" s="186" t="s">
        <v>351</v>
      </c>
    </row>
    <row r="6" spans="2:4" ht="15" customHeight="1" x14ac:dyDescent="0.2">
      <c r="B6" s="202" t="s">
        <v>167</v>
      </c>
      <c r="C6" s="213" t="s">
        <v>18</v>
      </c>
      <c r="D6" s="202" t="s">
        <v>305</v>
      </c>
    </row>
    <row r="7" spans="2:4" x14ac:dyDescent="0.2">
      <c r="B7" s="202"/>
      <c r="C7" s="213"/>
      <c r="D7" s="202"/>
    </row>
    <row r="8" spans="2:4" ht="15" x14ac:dyDescent="0.2">
      <c r="B8" s="202"/>
      <c r="C8" s="213"/>
      <c r="D8" s="89" t="s">
        <v>3</v>
      </c>
    </row>
    <row r="9" spans="2:4" ht="15" x14ac:dyDescent="0.2">
      <c r="B9" s="90">
        <v>1</v>
      </c>
      <c r="C9" s="29" t="s">
        <v>270</v>
      </c>
      <c r="D9" s="109">
        <f>F3.1!H12</f>
        <v>0.04</v>
      </c>
    </row>
    <row r="10" spans="2:4" x14ac:dyDescent="0.2">
      <c r="B10" s="29"/>
      <c r="C10" s="29"/>
      <c r="D10" s="100"/>
    </row>
    <row r="11" spans="2:4" ht="15" x14ac:dyDescent="0.2">
      <c r="B11" s="90">
        <v>2</v>
      </c>
      <c r="C11" s="91" t="s">
        <v>162</v>
      </c>
      <c r="D11" s="100"/>
    </row>
    <row r="12" spans="2:4" x14ac:dyDescent="0.2">
      <c r="B12" s="29"/>
      <c r="C12" s="29" t="s">
        <v>166</v>
      </c>
      <c r="D12" s="100"/>
    </row>
    <row r="13" spans="2:4" x14ac:dyDescent="0.2">
      <c r="B13" s="29"/>
      <c r="C13" s="29" t="s">
        <v>165</v>
      </c>
      <c r="D13" s="100"/>
    </row>
    <row r="14" spans="2:4" x14ac:dyDescent="0.2">
      <c r="B14" s="29"/>
      <c r="C14" s="29" t="s">
        <v>9</v>
      </c>
      <c r="D14" s="100"/>
    </row>
    <row r="15" spans="2:4" ht="15" x14ac:dyDescent="0.2">
      <c r="B15" s="29"/>
      <c r="C15" s="91" t="s">
        <v>160</v>
      </c>
      <c r="D15" s="109">
        <f>SUM(D12:D14)</f>
        <v>0</v>
      </c>
    </row>
    <row r="16" spans="2:4" x14ac:dyDescent="0.2">
      <c r="B16" s="29"/>
      <c r="C16" s="29"/>
      <c r="D16" s="100"/>
    </row>
    <row r="17" spans="2:4" x14ac:dyDescent="0.2">
      <c r="B17" s="90">
        <v>3</v>
      </c>
      <c r="C17" s="29" t="s">
        <v>0</v>
      </c>
      <c r="D17" s="100"/>
    </row>
    <row r="18" spans="2:4" x14ac:dyDescent="0.2">
      <c r="B18" s="90">
        <v>4</v>
      </c>
      <c r="C18" s="29" t="s">
        <v>163</v>
      </c>
      <c r="D18" s="100">
        <f>D9</f>
        <v>0.04</v>
      </c>
    </row>
    <row r="19" spans="2:4" x14ac:dyDescent="0.2">
      <c r="B19" s="90">
        <v>5</v>
      </c>
      <c r="C19" s="29" t="s">
        <v>271</v>
      </c>
      <c r="D19" s="100"/>
    </row>
    <row r="20" spans="2:4" ht="15" x14ac:dyDescent="0.2">
      <c r="B20" s="29"/>
      <c r="C20" s="29"/>
      <c r="D20" s="105"/>
    </row>
    <row r="21" spans="2:4" ht="15" x14ac:dyDescent="0.2">
      <c r="B21" s="90">
        <v>6</v>
      </c>
      <c r="C21" s="91" t="s">
        <v>272</v>
      </c>
      <c r="D21" s="109">
        <f>D15+D17+D18+D19</f>
        <v>0.04</v>
      </c>
    </row>
  </sheetData>
  <mergeCells count="6">
    <mergeCell ref="B2:D2"/>
    <mergeCell ref="D6:D7"/>
    <mergeCell ref="B6:B8"/>
    <mergeCell ref="C6:C8"/>
    <mergeCell ref="B4:D4"/>
    <mergeCell ref="B3:D3"/>
  </mergeCells>
  <pageMargins left="0.7" right="0.7" top="0.75" bottom="0.75" header="0.3" footer="0.3"/>
  <pageSetup paperSize="9" scale="1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4</vt:i4>
      </vt:variant>
    </vt:vector>
  </HeadingPairs>
  <TitlesOfParts>
    <vt:vector size="21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F15</vt:lpstr>
      <vt:lpstr>Checklist!Print_Area</vt:lpstr>
      <vt:lpstr>'F1'!Print_Area</vt:lpstr>
      <vt:lpstr>'F2'!Print_Area</vt:lpstr>
      <vt:lpstr>'F9'!Print_Area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AE COMMERCIAL</cp:lastModifiedBy>
  <cp:lastPrinted>2025-06-19T07:49:43Z</cp:lastPrinted>
  <dcterms:created xsi:type="dcterms:W3CDTF">2004-07-28T05:30:50Z</dcterms:created>
  <dcterms:modified xsi:type="dcterms:W3CDTF">2025-06-19T07:49:46Z</dcterms:modified>
</cp:coreProperties>
</file>