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8370" yWindow="-75" windowWidth="10920" windowHeight="6930" tabRatio="639" activeTab="1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07" r:id="rId17"/>
    <sheet name="F11.1" sheetId="111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Checklist!$A$1:$E$26</definedName>
    <definedName name="_xlnm.Print_Area" localSheetId="11">'F6'!$B$2:$F$23</definedName>
    <definedName name="_xlnm.Print_Area" localSheetId="12">'F7'!$B$2:$F$24</definedName>
    <definedName name="_xlnm.Print_Area" localSheetId="14">'F9'!$B$2:$D$26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10"/>
  <c r="G22" i="102" l="1"/>
  <c r="H22"/>
  <c r="L22"/>
  <c r="F13"/>
  <c r="F22" s="1"/>
  <c r="G20" i="81" l="1"/>
  <c r="G19"/>
  <c r="G16"/>
  <c r="G41"/>
  <c r="G24"/>
  <c r="G23"/>
  <c r="G38"/>
  <c r="G37"/>
  <c r="G34"/>
  <c r="G33"/>
  <c r="G30"/>
  <c r="G29"/>
  <c r="G28"/>
  <c r="K15" i="102"/>
  <c r="K12"/>
  <c r="K16"/>
  <c r="J13"/>
  <c r="J22" s="1"/>
  <c r="K22" l="1"/>
  <c r="D12" i="71"/>
  <c r="E12"/>
  <c r="F12"/>
  <c r="G12"/>
  <c r="H12"/>
  <c r="I12"/>
  <c r="J12"/>
  <c r="C12"/>
  <c r="N10"/>
  <c r="M10"/>
  <c r="L10"/>
  <c r="N8"/>
  <c r="M8"/>
  <c r="L8"/>
  <c r="K8"/>
  <c r="N12" l="1"/>
  <c r="O10"/>
  <c r="L12"/>
  <c r="M12"/>
  <c r="O8"/>
  <c r="K12"/>
  <c r="O12" l="1"/>
  <c r="E33" i="106"/>
  <c r="G16" i="58" s="1"/>
  <c r="H16" s="1"/>
  <c r="F33" i="106"/>
  <c r="D26"/>
  <c r="D33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N21" i="102" l="1"/>
  <c r="M21"/>
  <c r="I21"/>
  <c r="N20"/>
  <c r="M20"/>
  <c r="I20"/>
  <c r="N19"/>
  <c r="M19"/>
  <c r="I19"/>
  <c r="N18"/>
  <c r="M18"/>
  <c r="I18"/>
  <c r="N17"/>
  <c r="M17"/>
  <c r="I17"/>
  <c r="N16"/>
  <c r="M16"/>
  <c r="I16"/>
  <c r="N15"/>
  <c r="M15"/>
  <c r="I15"/>
  <c r="N14"/>
  <c r="M14"/>
  <c r="I14"/>
  <c r="N12"/>
  <c r="M12"/>
  <c r="I12"/>
  <c r="B12"/>
  <c r="B13" s="1"/>
  <c r="B14" s="1"/>
  <c r="B15" s="1"/>
  <c r="B16" s="1"/>
  <c r="B17" s="1"/>
  <c r="B18" s="1"/>
  <c r="B19" s="1"/>
  <c r="B20" s="1"/>
  <c r="B21" s="1"/>
  <c r="N11"/>
  <c r="M11"/>
  <c r="I11"/>
  <c r="N10"/>
  <c r="M10"/>
  <c r="I10"/>
  <c r="N9"/>
  <c r="M9"/>
  <c r="I9"/>
  <c r="O10" l="1"/>
  <c r="O11"/>
  <c r="O12"/>
  <c r="O14"/>
  <c r="O15"/>
  <c r="O16"/>
  <c r="O17"/>
  <c r="O18"/>
  <c r="O19"/>
  <c r="O20"/>
  <c r="O21"/>
  <c r="O9"/>
  <c r="N13"/>
  <c r="N22" s="1"/>
  <c r="I13"/>
  <c r="I22" s="1"/>
  <c r="M13"/>
  <c r="M22" s="1"/>
  <c r="O13" l="1"/>
  <c r="O22" s="1"/>
  <c r="H12" i="101" l="1"/>
  <c r="G12"/>
  <c r="E15" i="110" l="1"/>
  <c r="E14"/>
  <c r="E13"/>
  <c r="E18" s="1"/>
  <c r="E12"/>
  <c r="E17" i="104"/>
  <c r="E16" i="110" l="1"/>
  <c r="E17"/>
  <c r="D24" i="67"/>
  <c r="D32" s="1"/>
  <c r="F17" i="104" l="1"/>
  <c r="F18" i="110"/>
  <c r="E12" i="104" s="1"/>
  <c r="F12" s="1"/>
  <c r="F17" i="110"/>
  <c r="E10" i="104" s="1"/>
  <c r="F10" s="1"/>
  <c r="F16" i="110"/>
  <c r="G16" s="1"/>
  <c r="G14"/>
  <c r="G12"/>
  <c r="G11"/>
  <c r="G10"/>
  <c r="G9"/>
  <c r="G13"/>
  <c r="G20" i="58"/>
  <c r="F20" s="1"/>
  <c r="G19" i="110"/>
  <c r="G15"/>
  <c r="G17" l="1"/>
  <c r="E11" i="104"/>
  <c r="F11" s="1"/>
  <c r="G18" i="110"/>
  <c r="H20" i="58"/>
  <c r="D12" i="105"/>
  <c r="D15" i="109" l="1"/>
  <c r="D54" i="103"/>
  <c r="D14" i="105"/>
  <c r="D12" i="103"/>
  <c r="E21" i="107"/>
  <c r="E32" s="1"/>
  <c r="E14"/>
  <c r="E16" s="1"/>
  <c r="E34" l="1"/>
  <c r="D20" i="103"/>
  <c r="D13" i="104" l="1"/>
  <c r="D34" i="67"/>
  <c r="D36" i="68"/>
  <c r="D38" s="1"/>
  <c r="D18" i="69"/>
  <c r="F13" i="66" s="1"/>
  <c r="G13" s="1"/>
  <c r="D13" i="93"/>
  <c r="E11"/>
  <c r="F12" i="101"/>
  <c r="D61" i="103"/>
  <c r="D56"/>
  <c r="D55"/>
  <c r="D46"/>
  <c r="D36"/>
  <c r="D37" s="1"/>
  <c r="D39" s="1"/>
  <c r="D41" s="1"/>
  <c r="D18" i="105"/>
  <c r="F18"/>
  <c r="E18"/>
  <c r="F12" i="66" l="1"/>
  <c r="G12" s="1"/>
  <c r="F11"/>
  <c r="E11" i="103"/>
  <c r="F11" s="1"/>
  <c r="E10" i="105"/>
  <c r="F10" s="1"/>
  <c r="F20" s="1"/>
  <c r="E10" i="103"/>
  <c r="D47"/>
  <c r="D49" s="1"/>
  <c r="D9" i="109"/>
  <c r="D18" s="1"/>
  <c r="D21" s="1"/>
  <c r="E12" i="93"/>
  <c r="E11" i="105"/>
  <c r="E12" s="1"/>
  <c r="F12" s="1"/>
  <c r="D20"/>
  <c r="D21" s="1"/>
  <c r="F11" i="93"/>
  <c r="D20" i="69"/>
  <c r="F11" i="58"/>
  <c r="D57" i="103"/>
  <c r="D58" s="1"/>
  <c r="F13" i="58"/>
  <c r="F14" i="66" l="1"/>
  <c r="E13" i="104" s="1"/>
  <c r="G11" i="66"/>
  <c r="G14" s="1"/>
  <c r="F13" i="104" s="1"/>
  <c r="E20" i="105"/>
  <c r="F10" i="103"/>
  <c r="F12" s="1"/>
  <c r="E12"/>
  <c r="F12" i="93"/>
  <c r="F13" s="1"/>
  <c r="E14" i="103"/>
  <c r="D51"/>
  <c r="D60"/>
  <c r="D59" s="1"/>
  <c r="F19" s="1"/>
  <c r="E13" i="93"/>
  <c r="E14" i="105"/>
  <c r="F11"/>
  <c r="F14" s="1"/>
  <c r="F21" s="1"/>
  <c r="F22" s="1"/>
  <c r="H15" i="58" s="1"/>
  <c r="D21" i="69"/>
  <c r="F15" i="58"/>
  <c r="H11" l="1"/>
  <c r="F14" i="104" s="1"/>
  <c r="G11" i="58"/>
  <c r="E14" i="104" s="1"/>
  <c r="F14" i="103"/>
  <c r="E21" i="105"/>
  <c r="E22" s="1"/>
  <c r="G15" i="58" s="1"/>
  <c r="D62" i="103"/>
  <c r="E22" i="102"/>
  <c r="H12" i="58"/>
  <c r="F15" i="103" l="1"/>
  <c r="G12" i="58"/>
  <c r="E15" i="103" s="1"/>
  <c r="E16" l="1"/>
  <c r="E18" s="1"/>
  <c r="E20" s="1"/>
  <c r="E22" s="1"/>
  <c r="G13" i="58" s="1"/>
  <c r="E17" i="103"/>
  <c r="F17"/>
  <c r="F16"/>
  <c r="F18" s="1"/>
  <c r="F20" s="1"/>
  <c r="F22" s="1"/>
  <c r="H13" i="58" s="1"/>
  <c r="F16"/>
  <c r="V21" i="107"/>
  <c r="U21"/>
  <c r="T21"/>
  <c r="T32" s="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H19" i="58"/>
  <c r="H21" s="1"/>
  <c r="F19"/>
  <c r="F21" s="1"/>
  <c r="G34" i="107" l="1"/>
  <c r="O34"/>
  <c r="S34"/>
  <c r="K34"/>
  <c r="T34"/>
  <c r="G19" i="58"/>
  <c r="G21" s="1"/>
  <c r="D17" i="104"/>
  <c r="H32" i="107"/>
  <c r="H34" s="1"/>
  <c r="L32"/>
  <c r="L34" s="1"/>
  <c r="P32"/>
  <c r="P34" s="1"/>
  <c r="F32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B20" i="58" l="1"/>
  <c r="B21" s="1"/>
  <c r="B51" i="107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5" l="1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12" i="58"/>
  <c r="B13" s="1"/>
  <c r="B14" s="1"/>
  <c r="B15" s="1"/>
  <c r="B16" s="1"/>
  <c r="B17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1" s="1"/>
  <c r="B32" s="1"/>
  <c r="B41" i="81" l="1"/>
  <c r="B42" s="1"/>
  <c r="B37"/>
  <c r="B38" s="1"/>
  <c r="B33"/>
  <c r="B34" s="1"/>
  <c r="B27"/>
  <c r="B28" s="1"/>
  <c r="B29" s="1"/>
  <c r="B30" s="1"/>
  <c r="B23"/>
  <c r="B24" s="1"/>
  <c r="B19"/>
  <c r="B20" s="1"/>
  <c r="B15"/>
  <c r="B16" s="1"/>
  <c r="B7" i="57"/>
  <c r="B8" s="1"/>
  <c r="B9" s="1"/>
  <c r="B10" s="1"/>
  <c r="B11" l="1"/>
  <c r="B12" s="1"/>
  <c r="B13" s="1"/>
  <c r="B12" i="66"/>
  <c r="B13" s="1"/>
  <c r="B14" s="1"/>
  <c r="B26" i="67"/>
  <c r="B27" s="1"/>
  <c r="B28" s="1"/>
  <c r="B29" s="1"/>
  <c r="B14" i="57" l="1"/>
  <c r="B15" s="1"/>
  <c r="B16" s="1"/>
  <c r="B17" s="1"/>
  <c r="B18" s="1"/>
  <c r="B19" s="1"/>
  <c r="B20" s="1"/>
  <c r="B21" l="1"/>
  <c r="B22" s="1"/>
  <c r="B23" s="1"/>
  <c r="B24" s="1"/>
  <c r="B25" s="1"/>
  <c r="B26" s="1"/>
  <c r="F14" i="58"/>
  <c r="F17" l="1"/>
  <c r="F22" s="1"/>
  <c r="D15" i="104" l="1"/>
  <c r="D18" s="1"/>
  <c r="G17" i="58"/>
  <c r="G22"/>
  <c r="E15" i="104"/>
  <c r="E18"/>
  <c r="E20"/>
  <c r="G14" i="58"/>
  <c r="F20" i="104"/>
  <c r="H14" i="58"/>
  <c r="H17"/>
  <c r="H22"/>
  <c r="F15" i="104"/>
  <c r="F18"/>
</calcChain>
</file>

<file path=xl/sharedStrings.xml><?xml version="1.0" encoding="utf-8"?>
<sst xmlns="http://schemas.openxmlformats.org/spreadsheetml/2006/main" count="919" uniqueCount="482">
  <si>
    <t>Equity</t>
  </si>
  <si>
    <t>Reference</t>
  </si>
  <si>
    <t>S.No.</t>
  </si>
  <si>
    <t>Actual</t>
  </si>
  <si>
    <t>Form 1</t>
  </si>
  <si>
    <t>Title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</si>
  <si>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</si>
  <si>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</si>
  <si>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</si>
  <si>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</si>
  <si>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</si>
  <si>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</si>
  <si>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</si>
  <si>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</si>
  <si>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</si>
  <si>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</si>
  <si>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</si>
  <si>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</si>
  <si>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</si>
  <si>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</si>
  <si>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</si>
  <si>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</si>
  <si>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</si>
  <si>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</si>
  <si>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</si>
  <si>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</si>
  <si>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</si>
  <si>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</si>
  <si>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</si>
  <si>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</si>
  <si>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</si>
  <si>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</si>
  <si>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</si>
  <si>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</si>
  <si>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</si>
  <si>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</si>
  <si>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</si>
  <si>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</si>
  <si>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</si>
  <si>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</si>
  <si>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</si>
  <si>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</si>
  <si>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</si>
  <si>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</si>
  <si>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</si>
  <si>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</si>
  <si>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</si>
  <si>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</si>
  <si>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</si>
  <si>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</si>
  <si>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</si>
  <si>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</si>
  <si>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</si>
  <si>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</si>
  <si>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</si>
  <si>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</si>
  <si>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</si>
  <si>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</si>
  <si>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</si>
  <si>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</si>
  <si>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</si>
  <si>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</si>
  <si>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</si>
  <si>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</si>
  <si>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</si>
  <si>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</si>
  <si>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</si>
  <si>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</si>
  <si>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</si>
  <si>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</si>
  <si>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</si>
  <si>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</si>
  <si>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</si>
  <si>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</si>
  <si>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</si>
  <si>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</si>
  <si>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</si>
  <si>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</si>
  <si>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</si>
  <si>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</si>
  <si>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</si>
  <si>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</si>
  <si>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</si>
  <si>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</si>
  <si>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</si>
  <si>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</si>
  <si>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</si>
  <si>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</si>
  <si>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</si>
  <si>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</si>
  <si>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</si>
  <si>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</si>
  <si>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</si>
  <si>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</si>
  <si>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</si>
  <si>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</si>
  <si>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</si>
  <si>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</si>
  <si>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</si>
  <si>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</si>
  <si>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</si>
  <si>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</si>
  <si>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</si>
  <si>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</si>
  <si>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</si>
  <si>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</si>
  <si>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</si>
  <si>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</si>
  <si>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</si>
  <si>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</si>
  <si>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</si>
  <si>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</si>
  <si>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</si>
  <si>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</si>
  <si>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</si>
  <si>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</si>
  <si>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</si>
  <si>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</si>
  <si>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</si>
  <si>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</si>
  <si>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</si>
  <si>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</si>
  <si>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</si>
  <si>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</si>
  <si>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</si>
  <si>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</si>
  <si>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</si>
  <si>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</si>
  <si>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</si>
  <si>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</si>
  <si>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</si>
  <si>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</si>
  <si>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</si>
  <si>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</si>
  <si>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</si>
  <si>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</si>
  <si>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</si>
  <si>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</si>
  <si>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</si>
  <si>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</si>
  <si>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</si>
  <si>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</si>
  <si>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</si>
  <si>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</si>
  <si>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</si>
  <si>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</si>
  <si>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</si>
  <si>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</si>
  <si>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</si>
  <si>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</si>
  <si>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</si>
  <si>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</si>
  <si>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</si>
  <si>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</si>
  <si>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</si>
  <si>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</si>
  <si>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</si>
  <si>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</si>
  <si>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</si>
  <si>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</si>
  <si>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</si>
  <si>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</si>
  <si>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</si>
  <si>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</si>
  <si>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</si>
  <si>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</si>
  <si>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</si>
  <si>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</si>
  <si>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</si>
  <si>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</si>
  <si>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</si>
  <si>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</si>
  <si>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</si>
  <si>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</si>
  <si>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</si>
  <si>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</si>
  <si>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</si>
  <si>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</si>
  <si>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</si>
  <si>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</si>
  <si>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</si>
  <si>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</si>
  <si>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</si>
  <si>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</si>
  <si>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</si>
  <si>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</si>
  <si>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</si>
  <si>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</si>
  <si>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</si>
  <si>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</si>
  <si>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</si>
  <si>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</si>
  <si>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</si>
  <si>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</si>
  <si>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</si>
  <si>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</si>
  <si>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</si>
  <si>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</si>
  <si>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</si>
  <si>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</si>
  <si>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</si>
  <si>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</si>
  <si>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</si>
  <si>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</si>
  <si>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</si>
  <si>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</si>
  <si>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</si>
  <si>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</si>
  <si>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</si>
  <si>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</si>
  <si>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</si>
  <si>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</si>
  <si>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</si>
  <si>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</si>
  <si>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</si>
  <si>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</si>
  <si>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</si>
  <si>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</si>
  <si>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</si>
  <si>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</si>
  <si>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</si>
  <si>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</si>
  <si>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</si>
  <si>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Revenue from Sale of Electricity</t>
  </si>
  <si>
    <t xml:space="preserve">April-March     </t>
  </si>
  <si>
    <t>Claimed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</si>
  <si>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</si>
  <si>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</si>
  <si>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</si>
  <si>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</si>
  <si>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</si>
  <si>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</si>
  <si>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</si>
  <si>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</si>
  <si>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</si>
  <si>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</si>
  <si>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</si>
  <si>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</si>
  <si>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</si>
  <si>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</si>
  <si>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</si>
  <si>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</si>
  <si>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</si>
  <si>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</si>
  <si>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</si>
  <si>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</si>
  <si>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</si>
  <si>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</si>
  <si>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</si>
  <si>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</si>
  <si>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</si>
  <si>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</si>
  <si>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</si>
  <si>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</si>
  <si>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</si>
  <si>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</si>
  <si>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</si>
  <si>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</si>
  <si>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</si>
  <si>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</si>
  <si>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</si>
  <si>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</si>
  <si>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</si>
  <si>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</si>
  <si>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2.3: Repair &amp; Maintenance Expenses</t>
  </si>
  <si>
    <t>Form 3:  Summary of Capital Expenditure and Capitalisation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</si>
  <si>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</si>
  <si>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</si>
  <si>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</si>
  <si>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</si>
  <si>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</si>
  <si>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</si>
  <si>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</si>
  <si>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</si>
  <si>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</si>
  <si>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</si>
  <si>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Form 6:  Interest on working capital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</si>
  <si>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</si>
  <si>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</si>
  <si>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</si>
  <si>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</si>
  <si>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</si>
  <si>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</si>
  <si>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</si>
  <si>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</si>
  <si>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</si>
  <si>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</si>
  <si>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</si>
  <si>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</si>
  <si>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</si>
  <si>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 xml:space="preserve">April-March    </t>
  </si>
  <si>
    <t>Form 9:  Planned &amp; Forced Outages</t>
  </si>
  <si>
    <t>Form 10: Operational parameters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</si>
  <si>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</si>
  <si>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</si>
  <si>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</si>
  <si>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</si>
  <si>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</si>
  <si>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Opening quantity of coal</t>
  </si>
  <si>
    <t>Value ot stock</t>
  </si>
  <si>
    <t>MT</t>
  </si>
  <si>
    <t>Rs.</t>
  </si>
  <si>
    <t>Procurement</t>
  </si>
  <si>
    <t>Quantity of coal suppllied by the coal company</t>
  </si>
  <si>
    <t>Coal supplied by coal company (3+4)</t>
  </si>
  <si>
    <t>Normative transit and handling loss</t>
  </si>
  <si>
    <t>Net coal supplied</t>
  </si>
  <si>
    <t>Price</t>
  </si>
  <si>
    <t>Amount charged by coal company</t>
  </si>
  <si>
    <t>Adjustment in amount charged by the coal company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</si>
  <si>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</si>
  <si>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</si>
  <si>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</si>
  <si>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</si>
  <si>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</si>
  <si>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</si>
  <si>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</si>
  <si>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</si>
  <si>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Adjustment in amount charged by the coal transporter</t>
  </si>
  <si>
    <t>Demurrage charges, if any</t>
  </si>
  <si>
    <t>Total Transportation charges (12+13+14+15)</t>
  </si>
  <si>
    <t>Total amount charged for coal supplied including transportation (11+16)</t>
  </si>
  <si>
    <t>E</t>
  </si>
  <si>
    <t>Landed cost of coal (2+17)/(1+7)</t>
  </si>
  <si>
    <t>Rs./MT</t>
  </si>
  <si>
    <t>Blending Ratio (Domestic/Imported)</t>
  </si>
  <si>
    <t>Weighted average cost of coal for preceding three months</t>
  </si>
  <si>
    <t>F</t>
  </si>
  <si>
    <t>Quality</t>
  </si>
  <si>
    <t>kcal/kg</t>
  </si>
  <si>
    <t>GCV of Domestic Coal supplied as per bill of Coal Company</t>
  </si>
  <si>
    <t>GCV of Imported Coal supplied as per bill Coal Company</t>
  </si>
  <si>
    <t>Weighted average GCV of coal as Billed</t>
  </si>
  <si>
    <t>GCV of Domestic Coal supplied as received at Station</t>
  </si>
  <si>
    <t>GCV of Imported Coal of opening stock as received at Station</t>
  </si>
  <si>
    <t>Weighted average GCV of coal as Received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</si>
  <si>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</si>
  <si>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</si>
  <si>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</si>
  <si>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</si>
  <si>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</si>
  <si>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</si>
  <si>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Form 12: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</si>
  <si>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</si>
  <si>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</si>
  <si>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</si>
  <si>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</si>
  <si>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</si>
  <si>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</si>
  <si>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</si>
  <si>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</si>
  <si>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</si>
  <si>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</si>
  <si>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</si>
  <si>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</si>
  <si>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</si>
  <si>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</si>
  <si>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</si>
  <si>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</si>
  <si>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</si>
  <si>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</si>
  <si>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</si>
  <si>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</si>
  <si>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</si>
  <si>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</si>
  <si>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</si>
  <si>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</si>
  <si>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</si>
  <si>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</si>
  <si>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</si>
  <si>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</si>
  <si>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</si>
  <si>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</si>
  <si>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</si>
  <si>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</si>
  <si>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</si>
  <si>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</si>
  <si>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</si>
  <si>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</si>
  <si>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</si>
  <si>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</si>
  <si>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</si>
  <si>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</si>
  <si>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</si>
  <si>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</si>
  <si>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GCV of Domestic Coal of the opening stock as received at Station</t>
  </si>
  <si>
    <t>GCV of Imported Coal of the opening stock as per bill Coal Company</t>
  </si>
  <si>
    <t>GCV of Domestic Coal of the opening coal stock as per bill of Coal Company</t>
  </si>
  <si>
    <t>Cost of diesel in transporting coal through MGR system, if applicable</t>
  </si>
  <si>
    <t>Unfunded past liabilities of pension &amp; gratuity</t>
  </si>
  <si>
    <t>AFC +Energy Charges</t>
  </si>
  <si>
    <t>Adjustment in coal quantity supplied by the coal company (-/+)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</si>
  <si>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</si>
  <si>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</si>
  <si>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</si>
  <si>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</si>
  <si>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 xml:space="preserve">      &lt;TGGENCO&gt;</t>
  </si>
  <si>
    <t>TGGENCO</t>
  </si>
  <si>
    <t>FY 2023-24</t>
  </si>
  <si>
    <t>FY 2024-25</t>
  </si>
  <si>
    <t>KTPS-V</t>
  </si>
  <si>
    <t>Form 2.2: Administrative &amp; General Expenses</t>
  </si>
  <si>
    <t xml:space="preserve">      &lt;KTPS-V&gt;</t>
  </si>
  <si>
    <t>Form 1: Summary Sheet</t>
  </si>
  <si>
    <t>Coal Rate</t>
  </si>
  <si>
    <t>Oil Rate</t>
  </si>
  <si>
    <t>COMPUTERS</t>
  </si>
  <si>
    <t>OFFICE EQUIPMENT</t>
  </si>
  <si>
    <t>Land &amp; Land Rights</t>
  </si>
  <si>
    <t>Lines &amp; Cable Network</t>
  </si>
  <si>
    <t>Capital Spares</t>
  </si>
  <si>
    <t>Other Civil Works</t>
  </si>
  <si>
    <t>Furniture&amp; Fixtures</t>
  </si>
  <si>
    <t>Computers</t>
  </si>
  <si>
    <t>Intangible Assets</t>
  </si>
  <si>
    <t>Land Deposits</t>
  </si>
  <si>
    <t xml:space="preserve">CURRENT CONSUMPTION CHARGES                       </t>
  </si>
  <si>
    <t xml:space="preserve">INCOME FROM SALE OF ASH                           </t>
  </si>
  <si>
    <t xml:space="preserve">INCOME FROM SALE OF COAL REJECTS                  </t>
  </si>
  <si>
    <t xml:space="preserve">INCOME FROM SALE OF SCRAP                         </t>
  </si>
  <si>
    <t xml:space="preserve">INTEREST INCOME ON EMPLOYEES - Ind AS             </t>
  </si>
  <si>
    <t xml:space="preserve">INTEREST INCOME ON SD                             </t>
  </si>
  <si>
    <t xml:space="preserve">INTEREST ON CYCLE/MOPED/MOTOR CYCLE/CAR ADVANCE   </t>
  </si>
  <si>
    <t xml:space="preserve">INTEREST ON MARRIAGE ADVANCE TO STAFF             </t>
  </si>
  <si>
    <t>INTEREST ON STAFF LOANS &amp; ADVANCES(HOUSE BUILDING)</t>
  </si>
  <si>
    <t xml:space="preserve">INTEREST/INCOME FROM OTHER DEPOSITS               </t>
  </si>
  <si>
    <t xml:space="preserve">INTEREST/INCOME ON DEPOSITS FROM BANKS            </t>
  </si>
  <si>
    <t xml:space="preserve">OTHER INCOME - CONSULTANCY PROJECTS               </t>
  </si>
  <si>
    <t xml:space="preserve">OTHER MISCELLANEOUS RECEIPTS/INCOME               </t>
  </si>
  <si>
    <t xml:space="preserve">OTHER RECEIPTS  FROM CONTRACTORS                  </t>
  </si>
  <si>
    <t xml:space="preserve">OTHER RECEIPTS FROM STAFF                         </t>
  </si>
  <si>
    <t xml:space="preserve">OTHER RENTAL OR LETTING OUT                       </t>
  </si>
  <si>
    <t xml:space="preserve">PENALITIES RECOVERED FROM CONTRACTORS             </t>
  </si>
  <si>
    <t xml:space="preserve">RENTAL FROM RES. QUARTERS FROM UN REG PERSONS     </t>
  </si>
  <si>
    <t xml:space="preserve">RENTAL FROM STAFF FOR RESIDENTIAL QUARTERS        </t>
  </si>
  <si>
    <t xml:space="preserve">SALE OF TENDER SPECIFICATIONS                     </t>
  </si>
  <si>
    <t xml:space="preserve">VENDOR REGISTRATION FEE                           </t>
  </si>
  <si>
    <t xml:space="preserve">WATER CHARGES                                     </t>
  </si>
  <si>
    <t>Telangana State Power Generation Corporation Limited</t>
  </si>
  <si>
    <t>Kothagudem Thermal Power Station-V &amp; VI Stage</t>
  </si>
  <si>
    <t>Opening quantity of oil</t>
  </si>
  <si>
    <t>KL</t>
  </si>
  <si>
    <t>Rs.in Crs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</si>
  <si>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</si>
  <si>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</si>
  <si>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</si>
  <si>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</si>
  <si>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</si>
  <si>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</si>
  <si>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</si>
  <si>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</si>
  <si>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</si>
  <si>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</si>
  <si>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Rs./KL</t>
  </si>
  <si>
    <t>Weighted average cost of oil for preceding three months</t>
  </si>
  <si>
    <t xml:space="preserve">GCV of Domestic Oil of the opening Oil stock as per bill of Oil Company
</t>
  </si>
  <si>
    <t>kcal/litre</t>
  </si>
  <si>
    <t>GCV of Domestic Oil supplied as per bill of Oil Company</t>
  </si>
  <si>
    <t xml:space="preserve">GCV of Imported Oil of the opening stock as per bill Oil Company 
</t>
  </si>
  <si>
    <t>GCV of Imported Oil supplied as per bill Oil Company</t>
  </si>
  <si>
    <t>Weighted average GCV of Oil as Billed</t>
  </si>
  <si>
    <t xml:space="preserve">GCV of Domestic Oil of the opening stock as received at Station
</t>
  </si>
  <si>
    <t>GCV of Domestic Oil supplied as received at Station</t>
  </si>
  <si>
    <t xml:space="preserve">GCV of Imported Oil of opening stock as received at Station
</t>
  </si>
  <si>
    <t>GCV of Imported Oil of opening stock as received at Station</t>
  </si>
  <si>
    <t>Weighted average GCV of Oil as Received</t>
  </si>
  <si>
    <t>-</t>
  </si>
  <si>
    <t>Fuel (savings)/charge year end adjustment</t>
  </si>
  <si>
    <t>Fixed charges disallowed as per TGSLDC Availability</t>
  </si>
  <si>
    <t>TGSPDCL (70.55%)</t>
  </si>
  <si>
    <t>TGNPDCL (29.45%)</t>
  </si>
  <si>
    <t>2x250</t>
  </si>
  <si>
    <t>Non-Pithead</t>
  </si>
  <si>
    <t>28.02.1998</t>
  </si>
  <si>
    <t>(enclosed as Annexure)</t>
  </si>
  <si>
    <t>Rs. in Cr.</t>
  </si>
  <si>
    <t>(Rs. in Cr.)</t>
  </si>
  <si>
    <t>1). In case actual availability is less or more than normative value, the modification in the formula need to be done accordingly.</t>
  </si>
  <si>
    <t xml:space="preserve">True-Up requirement </t>
  </si>
  <si>
    <t>2023-24</t>
  </si>
  <si>
    <t>2024-25</t>
  </si>
  <si>
    <t>Fixed charges reduced prorata to actual capitalisation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</si>
</sst>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64" formatCode="&quot;$&quot;#,##0.00_);[Red]\(&quot;$&quot;#,##0.00\)"/>
    <numFmt numFmtId="165" formatCode="_(* #,##0.00_);_(* \(#,##0.00\);_(* &quot;-&quot;??_);_(@_)"/>
    <numFmt numFmtId="166" formatCode="_-* #,##0.00_-;\-* #,##0.00_-;_-* &quot;-&quot;??_-;_-@_-"/>
    <numFmt numFmtId="167" formatCode="0.00_)"/>
    <numFmt numFmtId="168" formatCode="&quot;ß&quot;#,##0.00_);\(&quot;ß&quot;#,##0.00\)"/>
    <numFmt numFmtId="169" formatCode="0.0000"/>
    <numFmt numFmtId="170" formatCode="0.0000000"/>
    <numFmt numFmtId="171" formatCode="0.000"/>
    <numFmt numFmtId="172" formatCode="dd\.mm\.yyyy"/>
    <numFmt numFmtId="173" formatCode="_ * #,##0.000_ ;_ * \-#,##0.000_ ;_ * &quot;-&quot;???_ ;_ @_ "/>
    <numFmt numFmtId="174" formatCode="_(* #,##0.000_);_(* \(#,##0.000\);_(* &quot;-&quot;??_);_(@_)"/>
    <numFmt numFmtId="175" formatCode="_ &quot;రూ&quot;\ * #,##0.00_ ;_ &quot;రూ&quot;\ * \-#,##0.00_ ;_ &quot;రూ&quot;\ * &quot;-&quot;??_ ;_ @_ "/>
    <numFmt numFmtId="176" formatCode="0.00000000"/>
    <numFmt numFmtId="177" formatCode="0.000000000000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60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7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8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5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20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8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75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30" fillId="0" borderId="0"/>
    <xf numFmtId="0" fontId="2" fillId="0" borderId="0" applyFont="0" applyFill="0" applyBorder="0" applyAlignment="0" applyProtection="0"/>
    <xf numFmtId="0" fontId="2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175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5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0" xfId="14" applyFont="1" applyAlignment="1">
      <alignment horizontal="center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6" fillId="4" borderId="12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21" fillId="0" borderId="9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0" fontId="16" fillId="0" borderId="0" xfId="14" applyFont="1" applyAlignment="1">
      <alignment horizontal="centerContinuous" vertical="center"/>
    </xf>
    <xf numFmtId="0" fontId="21" fillId="0" borderId="4" xfId="14" applyFont="1" applyBorder="1" applyAlignment="1">
      <alignment horizontal="left" vertical="center" wrapText="1"/>
    </xf>
    <xf numFmtId="0" fontId="16" fillId="0" borderId="4" xfId="14" quotePrefix="1" applyFont="1" applyBorder="1" applyAlignment="1">
      <alignment horizontal="center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 wrapText="1"/>
    </xf>
    <xf numFmtId="0" fontId="16" fillId="0" borderId="4" xfId="14" applyFont="1" applyBorder="1" applyAlignment="1">
      <alignment vertical="center" wrapText="1"/>
    </xf>
    <xf numFmtId="0" fontId="21" fillId="0" borderId="4" xfId="14" applyFont="1" applyBorder="1" applyAlignment="1">
      <alignment vertical="center" wrapText="1"/>
    </xf>
    <xf numFmtId="0" fontId="21" fillId="0" borderId="0" xfId="14" applyFont="1" applyAlignment="1">
      <alignment horizontal="left" vertical="center" wrapText="1"/>
    </xf>
    <xf numFmtId="0" fontId="16" fillId="0" borderId="0" xfId="14" quotePrefix="1" applyFont="1" applyAlignment="1">
      <alignment horizontal="center" vertical="center" wrapText="1"/>
    </xf>
    <xf numFmtId="0" fontId="16" fillId="0" borderId="0" xfId="10" applyFont="1" applyAlignment="1">
      <alignment horizontal="center" vertical="center" wrapText="1"/>
    </xf>
    <xf numFmtId="0" fontId="24" fillId="0" borderId="0" xfId="10" applyFont="1" applyAlignment="1">
      <alignment horizontal="left" vertical="center"/>
    </xf>
    <xf numFmtId="0" fontId="16" fillId="0" borderId="0" xfId="10" applyFont="1" applyAlignment="1">
      <alignment horizontal="justify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7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169" fontId="16" fillId="0" borderId="4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vertical="center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0" fontId="21" fillId="6" borderId="4" xfId="0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0" borderId="4" xfId="10" applyNumberFormat="1" applyFont="1" applyBorder="1"/>
    <xf numFmtId="2" fontId="16" fillId="0" borderId="4" xfId="10" applyNumberFormat="1" applyFont="1" applyBorder="1" applyAlignment="1">
      <alignment vertical="top" wrapText="1"/>
    </xf>
    <xf numFmtId="2" fontId="21" fillId="0" borderId="4" xfId="10" applyNumberFormat="1" applyFont="1" applyBorder="1" applyAlignment="1">
      <alignment vertical="top" wrapText="1"/>
    </xf>
    <xf numFmtId="171" fontId="21" fillId="6" borderId="4" xfId="0" applyNumberFormat="1" applyFont="1" applyFill="1" applyBorder="1" applyAlignment="1">
      <alignment vertical="center"/>
    </xf>
    <xf numFmtId="171" fontId="16" fillId="0" borderId="4" xfId="0" applyNumberFormat="1" applyFont="1" applyBorder="1" applyAlignment="1">
      <alignment vertical="center"/>
    </xf>
    <xf numFmtId="171" fontId="21" fillId="6" borderId="4" xfId="14" applyNumberFormat="1" applyFont="1" applyFill="1" applyBorder="1" applyAlignment="1">
      <alignment horizontal="center" vertical="center"/>
    </xf>
    <xf numFmtId="10" fontId="16" fillId="0" borderId="0" xfId="14" applyNumberFormat="1" applyFont="1">
      <alignment vertical="center"/>
    </xf>
    <xf numFmtId="2" fontId="16" fillId="0" borderId="9" xfId="14" applyNumberFormat="1" applyFont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right" vertical="center" wrapText="1"/>
    </xf>
    <xf numFmtId="2" fontId="21" fillId="6" borderId="4" xfId="10" applyNumberFormat="1" applyFont="1" applyFill="1" applyBorder="1" applyAlignment="1">
      <alignment horizontal="right" vertical="center"/>
    </xf>
    <xf numFmtId="1" fontId="16" fillId="0" borderId="0" xfId="14" applyNumberFormat="1" applyFont="1">
      <alignment vertical="center"/>
    </xf>
    <xf numFmtId="4" fontId="16" fillId="0" borderId="0" xfId="10" applyNumberFormat="1" applyFont="1" applyAlignment="1">
      <alignment vertical="center"/>
    </xf>
    <xf numFmtId="0" fontId="25" fillId="0" borderId="4" xfId="0" applyFont="1" applyBorder="1"/>
    <xf numFmtId="0" fontId="16" fillId="0" borderId="4" xfId="0" applyFont="1" applyBorder="1" applyAlignment="1">
      <alignment wrapText="1"/>
    </xf>
    <xf numFmtId="0" fontId="16" fillId="0" borderId="4" xfId="0" applyFont="1" applyBorder="1"/>
    <xf numFmtId="43" fontId="16" fillId="0" borderId="7" xfId="71" applyFont="1" applyBorder="1"/>
    <xf numFmtId="43" fontId="16" fillId="0" borderId="4" xfId="71" applyFont="1" applyBorder="1"/>
    <xf numFmtId="43" fontId="25" fillId="0" borderId="4" xfId="71" applyFont="1" applyBorder="1"/>
    <xf numFmtId="10" fontId="25" fillId="0" borderId="4" xfId="0" applyNumberFormat="1" applyFont="1" applyBorder="1"/>
    <xf numFmtId="4" fontId="25" fillId="0" borderId="4" xfId="0" applyNumberFormat="1" applyFont="1" applyBorder="1"/>
    <xf numFmtId="0" fontId="25" fillId="0" borderId="4" xfId="0" applyFont="1" applyBorder="1" applyAlignment="1">
      <alignment wrapText="1"/>
    </xf>
    <xf numFmtId="10" fontId="25" fillId="0" borderId="0" xfId="0" applyNumberFormat="1" applyFont="1"/>
    <xf numFmtId="9" fontId="25" fillId="0" borderId="4" xfId="0" applyNumberFormat="1" applyFont="1" applyBorder="1"/>
    <xf numFmtId="10" fontId="16" fillId="0" borderId="4" xfId="0" applyNumberFormat="1" applyFont="1" applyBorder="1"/>
    <xf numFmtId="170" fontId="16" fillId="0" borderId="0" xfId="10" applyNumberFormat="1" applyFont="1" applyAlignment="1">
      <alignment vertical="center"/>
    </xf>
    <xf numFmtId="0" fontId="0" fillId="0" borderId="4" xfId="0" applyBorder="1"/>
    <xf numFmtId="43" fontId="16" fillId="0" borderId="4" xfId="71" applyFont="1" applyBorder="1" applyAlignment="1">
      <alignment horizontal="center" vertical="center"/>
    </xf>
    <xf numFmtId="43" fontId="16" fillId="0" borderId="4" xfId="71" applyFont="1" applyBorder="1" applyAlignment="1">
      <alignment vertical="center"/>
    </xf>
    <xf numFmtId="43" fontId="0" fillId="0" borderId="4" xfId="71" applyFont="1" applyBorder="1"/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2" fontId="21" fillId="0" borderId="4" xfId="10" applyNumberFormat="1" applyFont="1" applyBorder="1" applyAlignment="1">
      <alignment horizontal="right" vertical="center"/>
    </xf>
    <xf numFmtId="2" fontId="32" fillId="0" borderId="4" xfId="10" applyNumberFormat="1" applyFont="1" applyBorder="1" applyAlignment="1">
      <alignment horizontal="center" vertical="center"/>
    </xf>
    <xf numFmtId="2" fontId="32" fillId="0" borderId="18" xfId="0" applyNumberFormat="1" applyFont="1" applyBorder="1" applyAlignment="1">
      <alignment horizontal="right" vertical="center"/>
    </xf>
    <xf numFmtId="171" fontId="16" fillId="0" borderId="4" xfId="0" applyNumberFormat="1" applyFont="1" applyBorder="1" applyAlignment="1">
      <alignment horizontal="center" vertical="center"/>
    </xf>
    <xf numFmtId="0" fontId="32" fillId="0" borderId="8" xfId="10" applyFont="1" applyBorder="1" applyAlignment="1">
      <alignment horizontal="center" vertical="center" wrapText="1"/>
    </xf>
    <xf numFmtId="0" fontId="32" fillId="0" borderId="4" xfId="10" applyFont="1" applyBorder="1" applyAlignment="1">
      <alignment vertical="center" wrapText="1"/>
    </xf>
    <xf numFmtId="0" fontId="32" fillId="0" borderId="4" xfId="10" applyFont="1" applyBorder="1" applyAlignment="1">
      <alignment horizontal="center" vertical="center" wrapText="1"/>
    </xf>
    <xf numFmtId="2" fontId="31" fillId="0" borderId="4" xfId="10" applyNumberFormat="1" applyFont="1" applyBorder="1" applyAlignment="1">
      <alignment vertical="center"/>
    </xf>
    <xf numFmtId="0" fontId="21" fillId="0" borderId="18" xfId="10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2" fontId="0" fillId="0" borderId="18" xfId="0" applyNumberFormat="1" applyBorder="1" applyAlignment="1">
      <alignment horizontal="center"/>
    </xf>
    <xf numFmtId="1" fontId="0" fillId="0" borderId="18" xfId="0" applyNumberFormat="1" applyBorder="1"/>
    <xf numFmtId="2" fontId="0" fillId="0" borderId="18" xfId="0" applyNumberFormat="1" applyBorder="1"/>
    <xf numFmtId="0" fontId="23" fillId="0" borderId="4" xfId="14" applyFont="1" applyBorder="1" applyAlignment="1">
      <alignment horizontal="center" vertical="center" wrapText="1"/>
    </xf>
    <xf numFmtId="2" fontId="21" fillId="6" borderId="18" xfId="14" applyNumberFormat="1" applyFont="1" applyFill="1" applyBorder="1" applyAlignment="1">
      <alignment horizontal="center" vertical="center"/>
    </xf>
    <xf numFmtId="2" fontId="16" fillId="0" borderId="0" xfId="10" applyNumberFormat="1" applyFont="1" applyAlignment="1">
      <alignment horizontal="left" vertical="center"/>
    </xf>
    <xf numFmtId="2" fontId="21" fillId="6" borderId="13" xfId="19" applyNumberFormat="1" applyFont="1" applyFill="1" applyBorder="1" applyAlignment="1">
      <alignment horizontal="right" vertical="center"/>
    </xf>
    <xf numFmtId="10" fontId="21" fillId="6" borderId="13" xfId="68" applyNumberFormat="1" applyFont="1" applyFill="1" applyBorder="1" applyAlignment="1">
      <alignment horizontal="right" vertical="center"/>
    </xf>
    <xf numFmtId="2" fontId="16" fillId="0" borderId="4" xfId="14" applyNumberFormat="1" applyFont="1" applyBorder="1" applyAlignment="1">
      <alignment horizontal="center" vertical="center" wrapText="1"/>
    </xf>
    <xf numFmtId="0" fontId="8" fillId="0" borderId="4" xfId="14" applyFont="1" applyBorder="1" applyAlignment="1">
      <alignment vertical="center" wrapText="1"/>
    </xf>
    <xf numFmtId="2" fontId="21" fillId="0" borderId="0" xfId="14" applyNumberFormat="1" applyFont="1">
      <alignment vertical="center"/>
    </xf>
    <xf numFmtId="169" fontId="21" fillId="0" borderId="0" xfId="14" applyNumberFormat="1" applyFont="1">
      <alignment vertical="center"/>
    </xf>
    <xf numFmtId="0" fontId="16" fillId="6" borderId="4" xfId="14" applyFont="1" applyFill="1" applyBorder="1" applyAlignment="1">
      <alignment horizontal="center" vertical="center" wrapText="1"/>
    </xf>
    <xf numFmtId="2" fontId="16" fillId="0" borderId="0" xfId="10" applyNumberFormat="1" applyFont="1" applyAlignment="1">
      <alignment vertical="center"/>
    </xf>
    <xf numFmtId="0" fontId="33" fillId="0" borderId="0" xfId="14" applyFont="1" applyAlignment="1">
      <alignment horizontal="center" vertical="center"/>
    </xf>
    <xf numFmtId="0" fontId="16" fillId="4" borderId="4" xfId="14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" fontId="21" fillId="0" borderId="18" xfId="10" applyNumberFormat="1" applyFont="1" applyBorder="1" applyAlignment="1">
      <alignment horizontal="center" vertical="center" wrapText="1"/>
    </xf>
    <xf numFmtId="2" fontId="21" fillId="0" borderId="18" xfId="10" applyNumberFormat="1" applyFont="1" applyBorder="1" applyAlignment="1">
      <alignment horizontal="right" vertical="center"/>
    </xf>
    <xf numFmtId="0" fontId="16" fillId="0" borderId="18" xfId="10" applyFont="1" applyBorder="1" applyAlignment="1">
      <alignment vertical="center"/>
    </xf>
    <xf numFmtId="2" fontId="21" fillId="6" borderId="18" xfId="10" applyNumberFormat="1" applyFont="1" applyFill="1" applyBorder="1" applyAlignment="1">
      <alignment vertical="center"/>
    </xf>
    <xf numFmtId="0" fontId="33" fillId="0" borderId="0" xfId="10" applyFont="1" applyAlignment="1">
      <alignment horizontal="center" vertical="center"/>
    </xf>
    <xf numFmtId="0" fontId="16" fillId="5" borderId="4" xfId="14" applyFont="1" applyFill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 wrapText="1"/>
    </xf>
    <xf numFmtId="171" fontId="16" fillId="0" borderId="0" xfId="0" applyNumberFormat="1" applyFont="1" applyAlignment="1">
      <alignment vertical="center"/>
    </xf>
    <xf numFmtId="176" fontId="16" fillId="0" borderId="0" xfId="0" applyNumberFormat="1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16" fillId="0" borderId="6" xfId="10" applyFont="1" applyBorder="1" applyAlignment="1">
      <alignment horizontal="center" vertical="center"/>
    </xf>
    <xf numFmtId="0" fontId="16" fillId="0" borderId="3" xfId="10" applyFont="1" applyBorder="1" applyAlignment="1">
      <alignment horizontal="center" vertical="center"/>
    </xf>
    <xf numFmtId="0" fontId="16" fillId="0" borderId="9" xfId="10" applyFont="1" applyBorder="1" applyAlignment="1">
      <alignment horizontal="center" vertical="center"/>
    </xf>
    <xf numFmtId="2" fontId="21" fillId="6" borderId="6" xfId="10" applyNumberFormat="1" applyFont="1" applyFill="1" applyBorder="1" applyAlignment="1">
      <alignment horizontal="center" vertical="center"/>
    </xf>
    <xf numFmtId="2" fontId="21" fillId="6" borderId="3" xfId="10" applyNumberFormat="1" applyFont="1" applyFill="1" applyBorder="1" applyAlignment="1">
      <alignment horizontal="center" vertical="center"/>
    </xf>
    <xf numFmtId="2" fontId="21" fillId="6" borderId="9" xfId="10" applyNumberFormat="1" applyFont="1" applyFill="1" applyBorder="1" applyAlignment="1">
      <alignment horizontal="center" vertical="center"/>
    </xf>
    <xf numFmtId="10" fontId="16" fillId="0" borderId="6" xfId="10" applyNumberFormat="1" applyFont="1" applyBorder="1" applyAlignment="1">
      <alignment horizontal="center" vertical="center"/>
    </xf>
    <xf numFmtId="10" fontId="16" fillId="0" borderId="3" xfId="10" applyNumberFormat="1" applyFont="1" applyBorder="1" applyAlignment="1">
      <alignment horizontal="center" vertical="center"/>
    </xf>
    <xf numFmtId="10" fontId="16" fillId="0" borderId="9" xfId="10" applyNumberFormat="1" applyFont="1" applyBorder="1" applyAlignment="1">
      <alignment horizontal="center" vertical="center"/>
    </xf>
    <xf numFmtId="2" fontId="16" fillId="0" borderId="6" xfId="10" applyNumberFormat="1" applyFont="1" applyBorder="1" applyAlignment="1">
      <alignment horizontal="center" vertical="center"/>
    </xf>
    <xf numFmtId="2" fontId="16" fillId="0" borderId="3" xfId="10" applyNumberFormat="1" applyFont="1" applyBorder="1" applyAlignment="1">
      <alignment horizontal="center" vertical="center"/>
    </xf>
    <xf numFmtId="2" fontId="16" fillId="0" borderId="9" xfId="10" applyNumberFormat="1" applyFont="1" applyBorder="1" applyAlignment="1">
      <alignment horizontal="center" vertical="center"/>
    </xf>
    <xf numFmtId="10" fontId="21" fillId="6" borderId="6" xfId="10" applyNumberFormat="1" applyFont="1" applyFill="1" applyBorder="1" applyAlignment="1">
      <alignment horizontal="center" vertical="center"/>
    </xf>
    <xf numFmtId="10" fontId="21" fillId="6" borderId="3" xfId="10" applyNumberFormat="1" applyFont="1" applyFill="1" applyBorder="1" applyAlignment="1">
      <alignment horizontal="center" vertical="center"/>
    </xf>
    <xf numFmtId="10" fontId="21" fillId="6" borderId="9" xfId="10" applyNumberFormat="1" applyFont="1" applyFill="1" applyBorder="1" applyAlignment="1">
      <alignment horizontal="center" vertical="center"/>
    </xf>
    <xf numFmtId="0" fontId="16" fillId="0" borderId="0" xfId="10" applyFont="1" applyAlignment="1">
      <alignment horizontal="left" vertical="center" wrapText="1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21" fillId="0" borderId="4" xfId="14" quotePrefix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31" fillId="0" borderId="0" xfId="14" applyFont="1" applyAlignment="1">
      <alignment horizontal="center" vertical="center"/>
    </xf>
    <xf numFmtId="1" fontId="9" fillId="0" borderId="6" xfId="0" applyNumberFormat="1" applyFont="1" applyBorder="1" applyAlignment="1">
      <alignment horizontal="left" vertical="center"/>
    </xf>
    <xf numFmtId="1" fontId="9" fillId="0" borderId="3" xfId="0" applyNumberFormat="1" applyFont="1" applyBorder="1" applyAlignment="1">
      <alignment horizontal="left" vertical="center"/>
    </xf>
    <xf numFmtId="1" fontId="9" fillId="0" borderId="9" xfId="0" applyNumberFormat="1" applyFont="1" applyBorder="1" applyAlignment="1">
      <alignment horizontal="left" vertical="center"/>
    </xf>
    <xf numFmtId="0" fontId="33" fillId="0" borderId="19" xfId="14" applyFont="1" applyBorder="1" applyAlignment="1">
      <alignment horizontal="center" vertical="center"/>
    </xf>
  </cellXfs>
  <cellStyles count="460">
    <cellStyle name="Body" xfId="1"/>
    <cellStyle name="Comma" xfId="71" builtinId="3"/>
    <cellStyle name="Comma  - Style1" xfId="2"/>
    <cellStyle name="Comma 10" xfId="95"/>
    <cellStyle name="Comma 10 2" xfId="96"/>
    <cellStyle name="Comma 10 3" xfId="252"/>
    <cellStyle name="Comma 10 4" xfId="265"/>
    <cellStyle name="Comma 11" xfId="97"/>
    <cellStyle name="Comma 11 2" xfId="19"/>
    <cellStyle name="Comma 11 2 10" xfId="436"/>
    <cellStyle name="Comma 11 2 2" xfId="98"/>
    <cellStyle name="Comma 11 2 2 2" xfId="99"/>
    <cellStyle name="Comma 11 2 2 3" xfId="93"/>
    <cellStyle name="Comma 11 2 2 4" xfId="348"/>
    <cellStyle name="Comma 11 2 2 5" xfId="367"/>
    <cellStyle name="Comma 11 2 2 6" xfId="385"/>
    <cellStyle name="Comma 11 2 2 7" xfId="401"/>
    <cellStyle name="Comma 11 2 2 8" xfId="417"/>
    <cellStyle name="Comma 11 2 3" xfId="209"/>
    <cellStyle name="Comma 11 2 4" xfId="349"/>
    <cellStyle name="Comma 11 2 5" xfId="358"/>
    <cellStyle name="Comma 11 2 6" xfId="376"/>
    <cellStyle name="Comma 11 2 7" xfId="394"/>
    <cellStyle name="Comma 11 2 8" xfId="410"/>
    <cellStyle name="Comma 11 2 9" xfId="72"/>
    <cellStyle name="Comma 12" xfId="100"/>
    <cellStyle name="Comma 13" xfId="101"/>
    <cellStyle name="Comma 14" xfId="102"/>
    <cellStyle name="Comma 15" xfId="103"/>
    <cellStyle name="Comma 15 2" xfId="104"/>
    <cellStyle name="Comma 15 2 2" xfId="105"/>
    <cellStyle name="Comma 15 2 2 2" xfId="106"/>
    <cellStyle name="Comma 15 2 2 3" xfId="249"/>
    <cellStyle name="Comma 15 2 2 4" xfId="262"/>
    <cellStyle name="Comma 15 2 3" xfId="107"/>
    <cellStyle name="Comma 15 2 4" xfId="108"/>
    <cellStyle name="Comma 15 2 5" xfId="109"/>
    <cellStyle name="Comma 15 2 6" xfId="110"/>
    <cellStyle name="Comma 15 2 7" xfId="111"/>
    <cellStyle name="Comma 15 2 8" xfId="112"/>
    <cellStyle name="Comma 15 3" xfId="113"/>
    <cellStyle name="Comma 15 4" xfId="114"/>
    <cellStyle name="Comma 15 5" xfId="115"/>
    <cellStyle name="Comma 15 6" xfId="116"/>
    <cellStyle name="Comma 15 7" xfId="117"/>
    <cellStyle name="Comma 15 8" xfId="118"/>
    <cellStyle name="Comma 16" xfId="119"/>
    <cellStyle name="Comma 16 2" xfId="120"/>
    <cellStyle name="Comma 16 3" xfId="121"/>
    <cellStyle name="Comma 16 4" xfId="122"/>
    <cellStyle name="Comma 16 5" xfId="123"/>
    <cellStyle name="Comma 16 6" xfId="124"/>
    <cellStyle name="Comma 16 7" xfId="125"/>
    <cellStyle name="Comma 16 8" xfId="126"/>
    <cellStyle name="Comma 17" xfId="127"/>
    <cellStyle name="Comma 18" xfId="128"/>
    <cellStyle name="Comma 18 2" xfId="129"/>
    <cellStyle name="Comma 18 2 2" xfId="130"/>
    <cellStyle name="Comma 19" xfId="131"/>
    <cellStyle name="Comma 2" xfId="24"/>
    <cellStyle name="Comma 2 10" xfId="248"/>
    <cellStyle name="Comma 2 11" xfId="261"/>
    <cellStyle name="Comma 2 12" xfId="286"/>
    <cellStyle name="Comma 2 13" xfId="328"/>
    <cellStyle name="Comma 2 14" xfId="281"/>
    <cellStyle name="Comma 2 15" xfId="368"/>
    <cellStyle name="Comma 2 16" xfId="386"/>
    <cellStyle name="Comma 2 17" xfId="402"/>
    <cellStyle name="Comma 2 18" xfId="73"/>
    <cellStyle name="Comma 2 2" xfId="25"/>
    <cellStyle name="Comma 2 2 10" xfId="326"/>
    <cellStyle name="Comma 2 2 11" xfId="283"/>
    <cellStyle name="Comma 2 2 12" xfId="332"/>
    <cellStyle name="Comma 2 2 13" xfId="277"/>
    <cellStyle name="Comma 2 2 14" xfId="337"/>
    <cellStyle name="Comma 2 2 15" xfId="74"/>
    <cellStyle name="Comma 2 2 2" xfId="63"/>
    <cellStyle name="Comma 2 2 2 2" xfId="134"/>
    <cellStyle name="Comma 2 2 2 3" xfId="288"/>
    <cellStyle name="Comma 2 2 2 4" xfId="325"/>
    <cellStyle name="Comma 2 2 2 5" xfId="284"/>
    <cellStyle name="Comma 2 2 2 6" xfId="331"/>
    <cellStyle name="Comma 2 2 2 7" xfId="278"/>
    <cellStyle name="Comma 2 2 2 8" xfId="335"/>
    <cellStyle name="Comma 2 2 3" xfId="133"/>
    <cellStyle name="Comma 2 2 4" xfId="136"/>
    <cellStyle name="Comma 2 2 5" xfId="137"/>
    <cellStyle name="Comma 2 2 6" xfId="138"/>
    <cellStyle name="Comma 2 2 7" xfId="139"/>
    <cellStyle name="Comma 2 2 8" xfId="140"/>
    <cellStyle name="Comma 2 2 9" xfId="287"/>
    <cellStyle name="Comma 2 3" xfId="26"/>
    <cellStyle name="Comma 2 3 2" xfId="141"/>
    <cellStyle name="Comma 2 3 3" xfId="296"/>
    <cellStyle name="Comma 2 3 4" xfId="313"/>
    <cellStyle name="Comma 2 3 5" xfId="299"/>
    <cellStyle name="Comma 2 3 6" xfId="312"/>
    <cellStyle name="Comma 2 3 7" xfId="300"/>
    <cellStyle name="Comma 2 3 8" xfId="311"/>
    <cellStyle name="Comma 2 3 9" xfId="75"/>
    <cellStyle name="Comma 2 4" xfId="56"/>
    <cellStyle name="Comma 2 4 2" xfId="142"/>
    <cellStyle name="Comma 2 4 3" xfId="297"/>
    <cellStyle name="Comma 2 4 4" xfId="366"/>
    <cellStyle name="Comma 2 4 5" xfId="384"/>
    <cellStyle name="Comma 2 4 6" xfId="400"/>
    <cellStyle name="Comma 2 4 7" xfId="416"/>
    <cellStyle name="Comma 2 4 8" xfId="429"/>
    <cellStyle name="Comma 2 5" xfId="132"/>
    <cellStyle name="Comma 2 6" xfId="144"/>
    <cellStyle name="Comma 2 7" xfId="145"/>
    <cellStyle name="Comma 2 8" xfId="146"/>
    <cellStyle name="Comma 2 9" xfId="147"/>
    <cellStyle name="Comma 20" xfId="148"/>
    <cellStyle name="Comma 21" xfId="149"/>
    <cellStyle name="Comma 22" xfId="150"/>
    <cellStyle name="Comma 23" xfId="151"/>
    <cellStyle name="Comma 24" xfId="152"/>
    <cellStyle name="Comma 25" xfId="153"/>
    <cellStyle name="Comma 26" xfId="154"/>
    <cellStyle name="Comma 27" xfId="155"/>
    <cellStyle name="Comma 28" xfId="156"/>
    <cellStyle name="Comma 29" xfId="157"/>
    <cellStyle name="Comma 3" xfId="27"/>
    <cellStyle name="Comma 3 10" xfId="76"/>
    <cellStyle name="Comma 3 2" xfId="62"/>
    <cellStyle name="Comma 3 2 2" xfId="77"/>
    <cellStyle name="Comma 3 2 3" xfId="437"/>
    <cellStyle name="Comma 3 3" xfId="158"/>
    <cellStyle name="Comma 3 4" xfId="302"/>
    <cellStyle name="Comma 3 5" xfId="362"/>
    <cellStyle name="Comma 3 6" xfId="380"/>
    <cellStyle name="Comma 3 7" xfId="397"/>
    <cellStyle name="Comma 3 8" xfId="413"/>
    <cellStyle name="Comma 3 9" xfId="427"/>
    <cellStyle name="Comma 30" xfId="159"/>
    <cellStyle name="Comma 31" xfId="160"/>
    <cellStyle name="Comma 32" xfId="161"/>
    <cellStyle name="Comma 33" xfId="162"/>
    <cellStyle name="Comma 34" xfId="163"/>
    <cellStyle name="Comma 35" xfId="164"/>
    <cellStyle name="Comma 36" xfId="165"/>
    <cellStyle name="Comma 37" xfId="166"/>
    <cellStyle name="Comma 38" xfId="250"/>
    <cellStyle name="Comma 39" xfId="255"/>
    <cellStyle name="Comma 4" xfId="28"/>
    <cellStyle name="Comma 4 10" xfId="78"/>
    <cellStyle name="Comma 4 2" xfId="64"/>
    <cellStyle name="Comma 4 2 10" xfId="438"/>
    <cellStyle name="Comma 4 2 2" xfId="168"/>
    <cellStyle name="Comma 4 2 3" xfId="306"/>
    <cellStyle name="Comma 4 2 4" xfId="360"/>
    <cellStyle name="Comma 4 2 5" xfId="378"/>
    <cellStyle name="Comma 4 2 6" xfId="396"/>
    <cellStyle name="Comma 4 2 7" xfId="412"/>
    <cellStyle name="Comma 4 2 8" xfId="426"/>
    <cellStyle name="Comma 4 2 9" xfId="79"/>
    <cellStyle name="Comma 4 3" xfId="169"/>
    <cellStyle name="Comma 4 4" xfId="170"/>
    <cellStyle name="Comma 4 5" xfId="171"/>
    <cellStyle name="Comma 4 6" xfId="172"/>
    <cellStyle name="Comma 4 7" xfId="173"/>
    <cellStyle name="Comma 4 8" xfId="174"/>
    <cellStyle name="Comma 4 9" xfId="175"/>
    <cellStyle name="Comma 40" xfId="257"/>
    <cellStyle name="Comma 41" xfId="259"/>
    <cellStyle name="Comma 42" xfId="263"/>
    <cellStyle name="Comma 43" xfId="267"/>
    <cellStyle name="Comma 44" xfId="452"/>
    <cellStyle name="Comma 45" xfId="454"/>
    <cellStyle name="Comma 46" xfId="456"/>
    <cellStyle name="Comma 47" xfId="458"/>
    <cellStyle name="Comma 48" xfId="459"/>
    <cellStyle name="Comma 49" xfId="422"/>
    <cellStyle name="Comma 5" xfId="29"/>
    <cellStyle name="Comma 5 10" xfId="177"/>
    <cellStyle name="Comma 5 11" xfId="309"/>
    <cellStyle name="Comma 5 12" xfId="303"/>
    <cellStyle name="Comma 5 13" xfId="308"/>
    <cellStyle name="Comma 5 14" xfId="304"/>
    <cellStyle name="Comma 5 15" xfId="307"/>
    <cellStyle name="Comma 5 16" xfId="305"/>
    <cellStyle name="Comma 5 17" xfId="80"/>
    <cellStyle name="Comma 5 18" xfId="439"/>
    <cellStyle name="Comma 5 2" xfId="176"/>
    <cellStyle name="Comma 5 2 2" xfId="178"/>
    <cellStyle name="Comma 5 2 3" xfId="310"/>
    <cellStyle name="Comma 5 2 4" xfId="301"/>
    <cellStyle name="Comma 5 2 5" xfId="365"/>
    <cellStyle name="Comma 5 2 6" xfId="383"/>
    <cellStyle name="Comma 5 2 7" xfId="399"/>
    <cellStyle name="Comma 5 2 8" xfId="415"/>
    <cellStyle name="Comma 5 3" xfId="179"/>
    <cellStyle name="Comma 5 3 2" xfId="180"/>
    <cellStyle name="Comma 5 3 3" xfId="181"/>
    <cellStyle name="Comma 5 3 4" xfId="182"/>
    <cellStyle name="Comma 5 3 5" xfId="183"/>
    <cellStyle name="Comma 5 3 6" xfId="184"/>
    <cellStyle name="Comma 5 3 7" xfId="185"/>
    <cellStyle name="Comma 5 3 8" xfId="186"/>
    <cellStyle name="Comma 5 4" xfId="187"/>
    <cellStyle name="Comma 5 4 2" xfId="188"/>
    <cellStyle name="Comma 5 4 2 2" xfId="189"/>
    <cellStyle name="Comma 5 4 2 3" xfId="251"/>
    <cellStyle name="Comma 5 4 2 4" xfId="264"/>
    <cellStyle name="Comma 5 5" xfId="190"/>
    <cellStyle name="Comma 5 6" xfId="191"/>
    <cellStyle name="Comma 5 7" xfId="192"/>
    <cellStyle name="Comma 5 8" xfId="193"/>
    <cellStyle name="Comma 5 9" xfId="194"/>
    <cellStyle name="Comma 6" xfId="48"/>
    <cellStyle name="Comma 6 2" xfId="49"/>
    <cellStyle name="Comma 6 3" xfId="50"/>
    <cellStyle name="Comma 6 4" xfId="51"/>
    <cellStyle name="Comma 6 5" xfId="81"/>
    <cellStyle name="Comma 7" xfId="21"/>
    <cellStyle name="Comma 7 2" xfId="196"/>
    <cellStyle name="Comma 7 3" xfId="318"/>
    <cellStyle name="Comma 7 4" xfId="292"/>
    <cellStyle name="Comma 7 5" xfId="316"/>
    <cellStyle name="Comma 7 6" xfId="294"/>
    <cellStyle name="Comma 7 7" xfId="314"/>
    <cellStyle name="Comma 7 8" xfId="298"/>
    <cellStyle name="Comma 8" xfId="65"/>
    <cellStyle name="Comma 8 10" xfId="440"/>
    <cellStyle name="Comma 8 2" xfId="197"/>
    <cellStyle name="Comma 8 3" xfId="319"/>
    <cellStyle name="Comma 8 4" xfId="291"/>
    <cellStyle name="Comma 8 5" xfId="317"/>
    <cellStyle name="Comma 8 6" xfId="293"/>
    <cellStyle name="Comma 8 7" xfId="315"/>
    <cellStyle name="Comma 8 8" xfId="295"/>
    <cellStyle name="Comma 8 9" xfId="82"/>
    <cellStyle name="Comma 9" xfId="94"/>
    <cellStyle name="Comma 9 2" xfId="198"/>
    <cellStyle name="Comma 9 3" xfId="320"/>
    <cellStyle name="Comma 9 4" xfId="290"/>
    <cellStyle name="Comma 9 5" xfId="321"/>
    <cellStyle name="Comma 9 6" xfId="289"/>
    <cellStyle name="Comma 9 7" xfId="243"/>
    <cellStyle name="Comma 9 8" xfId="354"/>
    <cellStyle name="Curren - Style2" xfId="3"/>
    <cellStyle name="Grey" xfId="4"/>
    <cellStyle name="Header1" xfId="5"/>
    <cellStyle name="Header2" xfId="6"/>
    <cellStyle name="Hyperlink 2" xfId="199"/>
    <cellStyle name="Input [yellow]" xfId="7"/>
    <cellStyle name="no dec" xfId="8"/>
    <cellStyle name="Normal" xfId="0" builtinId="0"/>
    <cellStyle name="Normal - Style1" xfId="9"/>
    <cellStyle name="Normal 10" xfId="67"/>
    <cellStyle name="Normal 10 10" xfId="441"/>
    <cellStyle name="Normal 10 2" xfId="200"/>
    <cellStyle name="Normal 10 3" xfId="322"/>
    <cellStyle name="Normal 10 4" xfId="364"/>
    <cellStyle name="Normal 10 5" xfId="382"/>
    <cellStyle name="Normal 10 6" xfId="398"/>
    <cellStyle name="Normal 10 7" xfId="414"/>
    <cellStyle name="Normal 10 8" xfId="428"/>
    <cellStyle name="Normal 10 9" xfId="83"/>
    <cellStyle name="Normal 11" xfId="69"/>
    <cellStyle name="Normal 11 10" xfId="442"/>
    <cellStyle name="Normal 11 2" xfId="201"/>
    <cellStyle name="Normal 11 3" xfId="323"/>
    <cellStyle name="Normal 11 4" xfId="357"/>
    <cellStyle name="Normal 11 5" xfId="375"/>
    <cellStyle name="Normal 11 6" xfId="393"/>
    <cellStyle name="Normal 11 7" xfId="409"/>
    <cellStyle name="Normal 11 8" xfId="425"/>
    <cellStyle name="Normal 11 9" xfId="84"/>
    <cellStyle name="Normal 12" xfId="70"/>
    <cellStyle name="Normal 12 10" xfId="443"/>
    <cellStyle name="Normal 12 2" xfId="202"/>
    <cellStyle name="Normal 12 3" xfId="324"/>
    <cellStyle name="Normal 12 4" xfId="285"/>
    <cellStyle name="Normal 12 5" xfId="329"/>
    <cellStyle name="Normal 12 6" xfId="280"/>
    <cellStyle name="Normal 12 7" xfId="333"/>
    <cellStyle name="Normal 12 8" xfId="276"/>
    <cellStyle name="Normal 12 9" xfId="85"/>
    <cellStyle name="Normal 13" xfId="203"/>
    <cellStyle name="Normal 14" xfId="204"/>
    <cellStyle name="Normal 14 2" xfId="68"/>
    <cellStyle name="Normal 14 2 2" xfId="86"/>
    <cellStyle name="Normal 14 2 3" xfId="444"/>
    <cellStyle name="Normal 15" xfId="18"/>
    <cellStyle name="Normal 15 10" xfId="445"/>
    <cellStyle name="Normal 15 2" xfId="205"/>
    <cellStyle name="Normal 15 3" xfId="327"/>
    <cellStyle name="Normal 15 4" xfId="282"/>
    <cellStyle name="Normal 15 5" xfId="359"/>
    <cellStyle name="Normal 15 6" xfId="377"/>
    <cellStyle name="Normal 15 7" xfId="395"/>
    <cellStyle name="Normal 15 8" xfId="411"/>
    <cellStyle name="Normal 15 9" xfId="87"/>
    <cellStyle name="Normal 16" xfId="206"/>
    <cellStyle name="Normal 17" xfId="207"/>
    <cellStyle name="Normal 18" xfId="61"/>
    <cellStyle name="Normal 18 10" xfId="446"/>
    <cellStyle name="Normal 18 2" xfId="208"/>
    <cellStyle name="Normal 18 2 2" xfId="210"/>
    <cellStyle name="Normal 18 2 3" xfId="253"/>
    <cellStyle name="Normal 18 2 4" xfId="266"/>
    <cellStyle name="Normal 18 3" xfId="330"/>
    <cellStyle name="Normal 18 4" xfId="279"/>
    <cellStyle name="Normal 18 5" xfId="334"/>
    <cellStyle name="Normal 18 6" xfId="275"/>
    <cellStyle name="Normal 18 7" xfId="338"/>
    <cellStyle name="Normal 18 8" xfId="273"/>
    <cellStyle name="Normal 18 9" xfId="88"/>
    <cellStyle name="Normal 19" xfId="21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3 2" xfId="214"/>
    <cellStyle name="Normal 2 3 3" xfId="336"/>
    <cellStyle name="Normal 2 3 4" xfId="274"/>
    <cellStyle name="Normal 2 3 5" xfId="339"/>
    <cellStyle name="Normal 2 3 6" xfId="272"/>
    <cellStyle name="Normal 2 3 7" xfId="340"/>
    <cellStyle name="Normal 2 3 8" xfId="271"/>
    <cellStyle name="Normal 2 4" xfId="52"/>
    <cellStyle name="Normal 2_ARR FINAL" xfId="32"/>
    <cellStyle name="Normal 20" xfId="215"/>
    <cellStyle name="Normal 21" xfId="216"/>
    <cellStyle name="Normal 22" xfId="217"/>
    <cellStyle name="Normal 23" xfId="218"/>
    <cellStyle name="Normal 24" xfId="219"/>
    <cellStyle name="Normal 25" xfId="220"/>
    <cellStyle name="Normal 26" xfId="221"/>
    <cellStyle name="Normal 27" xfId="222"/>
    <cellStyle name="Normal 28" xfId="223"/>
    <cellStyle name="Normal 29" xfId="224"/>
    <cellStyle name="Normal 3" xfId="13"/>
    <cellStyle name="Normal 3 10" xfId="270"/>
    <cellStyle name="Normal 3 11" xfId="343"/>
    <cellStyle name="Normal 3 12" xfId="135"/>
    <cellStyle name="Normal 3 13" xfId="361"/>
    <cellStyle name="Normal 3 14" xfId="379"/>
    <cellStyle name="Normal 3 2" xfId="33"/>
    <cellStyle name="Normal 3 2 2" xfId="58"/>
    <cellStyle name="Normal 3 2 3" xfId="226"/>
    <cellStyle name="Normal 3 2 4" xfId="342"/>
    <cellStyle name="Normal 3 2 5" xfId="269"/>
    <cellStyle name="Normal 3 2 6" xfId="344"/>
    <cellStyle name="Normal 3 2 7" xfId="143"/>
    <cellStyle name="Normal 3 2 8" xfId="363"/>
    <cellStyle name="Normal 3 2 9" xfId="381"/>
    <cellStyle name="Normal 3 3" xfId="225"/>
    <cellStyle name="Normal 3 4" xfId="227"/>
    <cellStyle name="Normal 3 5" xfId="228"/>
    <cellStyle name="Normal 3 6" xfId="229"/>
    <cellStyle name="Normal 3 7" xfId="230"/>
    <cellStyle name="Normal 3 8" xfId="231"/>
    <cellStyle name="Normal 3 9" xfId="341"/>
    <cellStyle name="Normal 30" xfId="232"/>
    <cellStyle name="Normal 31" xfId="247"/>
    <cellStyle name="Normal 32" xfId="254"/>
    <cellStyle name="Normal 33" xfId="256"/>
    <cellStyle name="Normal 34" xfId="258"/>
    <cellStyle name="Normal 35" xfId="260"/>
    <cellStyle name="Normal 36" xfId="268"/>
    <cellStyle name="Normal 37" xfId="435"/>
    <cellStyle name="Normal 38" xfId="451"/>
    <cellStyle name="Normal 39" xfId="22"/>
    <cellStyle name="Normal 4" xfId="34"/>
    <cellStyle name="Normal 4 10" xfId="167"/>
    <cellStyle name="Normal 4 11" xfId="369"/>
    <cellStyle name="Normal 4 12" xfId="387"/>
    <cellStyle name="Normal 4 13" xfId="403"/>
    <cellStyle name="Normal 4 14" xfId="418"/>
    <cellStyle name="Normal 4 2" xfId="59"/>
    <cellStyle name="Normal 4 2 2" xfId="234"/>
    <cellStyle name="Normal 4 2 3" xfId="346"/>
    <cellStyle name="Normal 4 2 4" xfId="195"/>
    <cellStyle name="Normal 4 2 5" xfId="347"/>
    <cellStyle name="Normal 4 2 6" xfId="212"/>
    <cellStyle name="Normal 4 2 7" xfId="350"/>
    <cellStyle name="Normal 4 2 8" xfId="213"/>
    <cellStyle name="Normal 4 3" xfId="233"/>
    <cellStyle name="Normal 4 4" xfId="235"/>
    <cellStyle name="Normal 4 5" xfId="236"/>
    <cellStyle name="Normal 4 6" xfId="237"/>
    <cellStyle name="Normal 4 7" xfId="238"/>
    <cellStyle name="Normal 4 8" xfId="239"/>
    <cellStyle name="Normal 4 9" xfId="345"/>
    <cellStyle name="Normal 40" xfId="453"/>
    <cellStyle name="Normal 41" xfId="455"/>
    <cellStyle name="Normal 42" xfId="457"/>
    <cellStyle name="Normal 5" xfId="35"/>
    <cellStyle name="Normal 5 10" xfId="89"/>
    <cellStyle name="Normal 5 11" xfId="447"/>
    <cellStyle name="Normal 5 2" xfId="36"/>
    <cellStyle name="Normal 5 3" xfId="240"/>
    <cellStyle name="Normal 5 4" xfId="351"/>
    <cellStyle name="Normal 5 5" xfId="370"/>
    <cellStyle name="Normal 5 6" xfId="388"/>
    <cellStyle name="Normal 5 7" xfId="404"/>
    <cellStyle name="Normal 5 8" xfId="419"/>
    <cellStyle name="Normal 5 9" xfId="430"/>
    <cellStyle name="Normal 6" xfId="37"/>
    <cellStyle name="Normal 6 2" xfId="241"/>
    <cellStyle name="Normal 6 3" xfId="352"/>
    <cellStyle name="Normal 6 4" xfId="371"/>
    <cellStyle name="Normal 6 5" xfId="389"/>
    <cellStyle name="Normal 6 6" xfId="405"/>
    <cellStyle name="Normal 6 7" xfId="420"/>
    <cellStyle name="Normal 6 8" xfId="431"/>
    <cellStyle name="Normal 7" xfId="38"/>
    <cellStyle name="Normal 7 10" xfId="448"/>
    <cellStyle name="Normal 7 2" xfId="242"/>
    <cellStyle name="Normal 7 2 2" xfId="244"/>
    <cellStyle name="Normal 7 3" xfId="353"/>
    <cellStyle name="Normal 7 4" xfId="372"/>
    <cellStyle name="Normal 7 5" xfId="390"/>
    <cellStyle name="Normal 7 6" xfId="406"/>
    <cellStyle name="Normal 7 7" xfId="421"/>
    <cellStyle name="Normal 7 8" xfId="432"/>
    <cellStyle name="Normal 7 9" xfId="90"/>
    <cellStyle name="Normal 8" xfId="53"/>
    <cellStyle name="Normal 8 2" xfId="245"/>
    <cellStyle name="Normal 8 3" xfId="355"/>
    <cellStyle name="Normal 8 4" xfId="373"/>
    <cellStyle name="Normal 8 5" xfId="391"/>
    <cellStyle name="Normal 8 6" xfId="407"/>
    <cellStyle name="Normal 8 7" xfId="423"/>
    <cellStyle name="Normal 8 8" xfId="433"/>
    <cellStyle name="Normal 9" xfId="54"/>
    <cellStyle name="Normal 9 2" xfId="246"/>
    <cellStyle name="Normal 9 3" xfId="356"/>
    <cellStyle name="Normal 9 4" xfId="374"/>
    <cellStyle name="Normal 9 5" xfId="392"/>
    <cellStyle name="Normal 9 6" xfId="408"/>
    <cellStyle name="Normal 9 7" xfId="424"/>
    <cellStyle name="Normal 9 8" xfId="43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1"/>
    <cellStyle name="Percent 41 3" xfId="449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92"/>
    <cellStyle name="Percent 7 3" xfId="450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6"/>
  <sheetViews>
    <sheetView showGridLines="0" zoomScale="80" zoomScaleNormal="80" zoomScaleSheetLayoutView="80" workbookViewId="0">
      <selection activeCell="M23" sqref="M23"/>
    </sheetView>
  </sheetViews>
  <sheetFormatPr defaultColWidth="9.28515625" defaultRowHeight="15"/>
  <cols>
    <col min="1" max="1" width="3.7109375" style="6" customWidth="1"/>
    <col min="2" max="2" width="7.42578125" style="6" customWidth="1"/>
    <col min="3" max="3" width="12.5703125" style="6" customWidth="1"/>
    <col min="4" max="4" width="43.28515625" style="6" customWidth="1"/>
    <col min="5" max="5" width="11.42578125" style="6" customWidth="1"/>
    <col min="6" max="6" width="20.7109375" style="6" customWidth="1"/>
    <col min="7" max="8" width="18.7109375" style="6" customWidth="1"/>
    <col min="9" max="16384" width="9.28515625" style="6"/>
  </cols>
  <sheetData>
    <row r="1" spans="2:8" ht="15.75">
      <c r="B1" s="224" t="s">
        <v>396</v>
      </c>
      <c r="C1" s="224"/>
      <c r="D1" s="225"/>
      <c r="E1" s="225"/>
      <c r="F1" s="1"/>
      <c r="G1" s="1"/>
      <c r="H1" s="1"/>
    </row>
    <row r="2" spans="2:8" ht="15.75">
      <c r="B2" s="224" t="s">
        <v>402</v>
      </c>
      <c r="C2" s="224"/>
      <c r="D2" s="225"/>
      <c r="E2" s="225"/>
      <c r="F2" s="1"/>
      <c r="G2" s="1"/>
      <c r="H2" s="1"/>
    </row>
    <row r="3" spans="2:8" s="10" customFormat="1" ht="15.75">
      <c r="B3" s="226" t="s">
        <v>367</v>
      </c>
      <c r="C3" s="226"/>
      <c r="D3" s="227"/>
      <c r="E3" s="227"/>
      <c r="F3" s="1"/>
      <c r="G3" s="1"/>
      <c r="H3" s="1"/>
    </row>
    <row r="4" spans="2:8" ht="15.75">
      <c r="D4" s="67" t="s">
        <v>369</v>
      </c>
    </row>
    <row r="5" spans="2:8" ht="15.75">
      <c r="B5" s="11" t="s">
        <v>188</v>
      </c>
      <c r="C5" s="11" t="s">
        <v>368</v>
      </c>
      <c r="D5" s="12" t="s">
        <v>5</v>
      </c>
      <c r="E5" s="12" t="s">
        <v>370</v>
      </c>
    </row>
    <row r="6" spans="2:8">
      <c r="B6" s="7">
        <v>1</v>
      </c>
      <c r="C6" s="7" t="s">
        <v>4</v>
      </c>
      <c r="D6" s="206" t="s">
        <v>372</v>
      </c>
      <c r="E6" s="8"/>
    </row>
    <row r="7" spans="2:8">
      <c r="B7" s="7">
        <f>B6+1</f>
        <v>2</v>
      </c>
      <c r="C7" s="7" t="s">
        <v>261</v>
      </c>
      <c r="D7" s="206" t="s">
        <v>374</v>
      </c>
      <c r="E7" s="8"/>
    </row>
    <row r="8" spans="2:8">
      <c r="B8" s="7">
        <f>B7+1</f>
        <v>3</v>
      </c>
      <c r="C8" s="7" t="s">
        <v>21</v>
      </c>
      <c r="D8" s="206" t="s">
        <v>375</v>
      </c>
      <c r="E8" s="8"/>
    </row>
    <row r="9" spans="2:8">
      <c r="B9" s="7">
        <f>B8+1</f>
        <v>4</v>
      </c>
      <c r="C9" s="7" t="s">
        <v>22</v>
      </c>
      <c r="D9" s="206" t="s">
        <v>376</v>
      </c>
      <c r="E9" s="8"/>
    </row>
    <row r="10" spans="2:8">
      <c r="B10" s="7">
        <f>B9+1</f>
        <v>5</v>
      </c>
      <c r="C10" s="7" t="s">
        <v>262</v>
      </c>
      <c r="D10" s="206" t="s">
        <v>377</v>
      </c>
      <c r="E10" s="8"/>
    </row>
    <row r="11" spans="2:8" ht="30">
      <c r="B11" s="7">
        <f t="shared" ref="B11:B26" si="0">B10+1</f>
        <v>6</v>
      </c>
      <c r="C11" s="7" t="s">
        <v>19</v>
      </c>
      <c r="D11" s="206" t="s">
        <v>215</v>
      </c>
      <c r="E11" s="8"/>
    </row>
    <row r="12" spans="2:8" ht="30">
      <c r="B12" s="7">
        <f t="shared" si="0"/>
        <v>7</v>
      </c>
      <c r="C12" s="7" t="s">
        <v>24</v>
      </c>
      <c r="D12" s="206" t="s">
        <v>378</v>
      </c>
      <c r="E12" s="8"/>
    </row>
    <row r="13" spans="2:8">
      <c r="B13" s="7">
        <f t="shared" si="0"/>
        <v>8</v>
      </c>
      <c r="C13" s="7" t="s">
        <v>25</v>
      </c>
      <c r="D13" s="9" t="s">
        <v>185</v>
      </c>
      <c r="E13" s="8"/>
    </row>
    <row r="14" spans="2:8">
      <c r="B14" s="7">
        <f t="shared" si="0"/>
        <v>9</v>
      </c>
      <c r="C14" s="7" t="s">
        <v>20</v>
      </c>
      <c r="D14" s="9" t="s">
        <v>379</v>
      </c>
      <c r="E14" s="8"/>
    </row>
    <row r="15" spans="2:8">
      <c r="B15" s="7">
        <f t="shared" si="0"/>
        <v>10</v>
      </c>
      <c r="C15" s="7" t="s">
        <v>26</v>
      </c>
      <c r="D15" s="206" t="s">
        <v>226</v>
      </c>
      <c r="E15" s="8"/>
    </row>
    <row r="16" spans="2:8">
      <c r="B16" s="7">
        <f t="shared" si="0"/>
        <v>11</v>
      </c>
      <c r="C16" s="7" t="s">
        <v>27</v>
      </c>
      <c r="D16" s="9" t="s">
        <v>284</v>
      </c>
      <c r="E16" s="8"/>
    </row>
    <row r="17" spans="2:5">
      <c r="B17" s="7">
        <f t="shared" si="0"/>
        <v>12</v>
      </c>
      <c r="C17" s="7" t="s">
        <v>28</v>
      </c>
      <c r="D17" s="9" t="s">
        <v>227</v>
      </c>
      <c r="E17" s="8"/>
    </row>
    <row r="18" spans="2:5">
      <c r="B18" s="7">
        <f t="shared" si="0"/>
        <v>13</v>
      </c>
      <c r="C18" s="7" t="s">
        <v>29</v>
      </c>
      <c r="D18" s="9" t="s">
        <v>151</v>
      </c>
      <c r="E18" s="8"/>
    </row>
    <row r="19" spans="2:5">
      <c r="B19" s="7">
        <f t="shared" si="0"/>
        <v>14</v>
      </c>
      <c r="C19" s="7" t="s">
        <v>30</v>
      </c>
      <c r="D19" s="9" t="s">
        <v>23</v>
      </c>
      <c r="E19" s="8"/>
    </row>
    <row r="20" spans="2:5">
      <c r="B20" s="7">
        <f t="shared" si="0"/>
        <v>15</v>
      </c>
      <c r="C20" s="7" t="s">
        <v>31</v>
      </c>
      <c r="D20" s="206" t="s">
        <v>380</v>
      </c>
      <c r="E20" s="8"/>
    </row>
    <row r="21" spans="2:5" ht="30">
      <c r="B21" s="7">
        <f t="shared" si="0"/>
        <v>16</v>
      </c>
      <c r="C21" s="7" t="s">
        <v>32</v>
      </c>
      <c r="D21" s="206" t="s">
        <v>381</v>
      </c>
      <c r="E21" s="8"/>
    </row>
    <row r="22" spans="2:5">
      <c r="B22" s="7">
        <f t="shared" si="0"/>
        <v>17</v>
      </c>
      <c r="C22" s="7" t="s">
        <v>159</v>
      </c>
      <c r="D22" s="206" t="s">
        <v>230</v>
      </c>
      <c r="E22" s="8"/>
    </row>
    <row r="23" spans="2:5">
      <c r="B23" s="7">
        <f t="shared" si="0"/>
        <v>18</v>
      </c>
      <c r="C23" s="7" t="s">
        <v>164</v>
      </c>
      <c r="D23" s="206" t="s">
        <v>382</v>
      </c>
      <c r="E23" s="8"/>
    </row>
    <row r="24" spans="2:5">
      <c r="B24" s="7">
        <f t="shared" si="0"/>
        <v>19</v>
      </c>
      <c r="C24" s="7" t="s">
        <v>371</v>
      </c>
      <c r="D24" s="206" t="s">
        <v>223</v>
      </c>
      <c r="E24" s="8"/>
    </row>
    <row r="25" spans="2:5">
      <c r="B25" s="7">
        <f t="shared" si="0"/>
        <v>20</v>
      </c>
      <c r="C25" s="7" t="s">
        <v>217</v>
      </c>
      <c r="D25" s="206" t="s">
        <v>383</v>
      </c>
      <c r="E25" s="8"/>
    </row>
    <row r="26" spans="2:5">
      <c r="B26" s="7">
        <f t="shared" si="0"/>
        <v>21</v>
      </c>
      <c r="C26" s="7" t="s">
        <v>218</v>
      </c>
      <c r="D26" s="9" t="s">
        <v>384</v>
      </c>
      <c r="E26" s="8"/>
    </row>
  </sheetData>
  <mergeCells count="3">
    <mergeCell ref="B1:E1"/>
    <mergeCell ref="B3:E3"/>
    <mergeCell ref="B2:E2"/>
  </mergeCells>
  <phoneticPr fontId="12" type="noConversion"/>
  <printOptions horizontalCentered="1" verticalCentered="1"/>
  <pageMargins left="0.70866141732283505" right="0.70866141732283505" top="0" bottom="0.74803149606299202" header="0.31496062992126" footer="0.31496062992126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4"/>
  <sheetViews>
    <sheetView showGridLines="0" view="pageBreakPreview" zoomScale="90" zoomScaleNormal="93" zoomScaleSheetLayoutView="90" workbookViewId="0">
      <selection activeCell="P22" sqref="P22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6" customHeight="1">
      <c r="B1" s="24"/>
    </row>
    <row r="2" spans="2:15" ht="15">
      <c r="B2" s="228" t="s">
        <v>397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2:15" ht="15">
      <c r="B3" s="228" t="s">
        <v>400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</row>
    <row r="4" spans="2:15" ht="15">
      <c r="B4" s="228" t="s">
        <v>267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2:15" ht="21" customHeight="1" thickBot="1">
      <c r="K5" s="35"/>
      <c r="O5" s="32" t="s">
        <v>476</v>
      </c>
    </row>
    <row r="6" spans="2:15" ht="15">
      <c r="B6" s="249" t="s">
        <v>398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1"/>
    </row>
    <row r="7" spans="2:15" ht="14.25" customHeight="1">
      <c r="B7" s="252" t="s">
        <v>2</v>
      </c>
      <c r="C7" s="254" t="s">
        <v>260</v>
      </c>
      <c r="D7" s="256" t="s">
        <v>248</v>
      </c>
      <c r="E7" s="256" t="s">
        <v>249</v>
      </c>
      <c r="F7" s="256" t="s">
        <v>250</v>
      </c>
      <c r="G7" s="256"/>
      <c r="H7" s="256"/>
      <c r="I7" s="256"/>
      <c r="J7" s="256" t="s">
        <v>251</v>
      </c>
      <c r="K7" s="256"/>
      <c r="L7" s="256"/>
      <c r="M7" s="256"/>
      <c r="N7" s="256" t="s">
        <v>252</v>
      </c>
      <c r="O7" s="258"/>
    </row>
    <row r="8" spans="2:15" ht="60.75" thickBot="1">
      <c r="B8" s="253"/>
      <c r="C8" s="255"/>
      <c r="D8" s="257"/>
      <c r="E8" s="257"/>
      <c r="F8" s="63" t="s">
        <v>253</v>
      </c>
      <c r="G8" s="63" t="s">
        <v>135</v>
      </c>
      <c r="H8" s="63" t="s">
        <v>254</v>
      </c>
      <c r="I8" s="63" t="s">
        <v>255</v>
      </c>
      <c r="J8" s="63" t="s">
        <v>256</v>
      </c>
      <c r="K8" s="63" t="s">
        <v>135</v>
      </c>
      <c r="L8" s="63" t="s">
        <v>257</v>
      </c>
      <c r="M8" s="63" t="s">
        <v>258</v>
      </c>
      <c r="N8" s="63" t="s">
        <v>253</v>
      </c>
      <c r="O8" s="64" t="s">
        <v>255</v>
      </c>
    </row>
    <row r="9" spans="2:15">
      <c r="B9" s="166">
        <v>1</v>
      </c>
      <c r="C9" s="167" t="s">
        <v>408</v>
      </c>
      <c r="D9" s="166">
        <v>1000</v>
      </c>
      <c r="E9" s="168">
        <v>0</v>
      </c>
      <c r="F9" s="169">
        <v>3.52</v>
      </c>
      <c r="G9" s="169">
        <v>0</v>
      </c>
      <c r="H9" s="169">
        <v>0</v>
      </c>
      <c r="I9" s="170">
        <f>F9+G9+H9</f>
        <v>3.52</v>
      </c>
      <c r="J9" s="169">
        <v>0</v>
      </c>
      <c r="K9" s="169">
        <v>0</v>
      </c>
      <c r="L9" s="169">
        <v>0</v>
      </c>
      <c r="M9" s="170">
        <f>J9+K9+L9</f>
        <v>0</v>
      </c>
      <c r="N9" s="169">
        <f>+F9-J9</f>
        <v>3.52</v>
      </c>
      <c r="O9" s="169">
        <f>+I9-M9</f>
        <v>3.52</v>
      </c>
    </row>
    <row r="10" spans="2:15">
      <c r="B10" s="166">
        <v>2</v>
      </c>
      <c r="C10" s="167" t="s">
        <v>415</v>
      </c>
      <c r="D10" s="166">
        <v>1010</v>
      </c>
      <c r="E10" s="168"/>
      <c r="F10" s="171"/>
      <c r="G10" s="171"/>
      <c r="H10" s="171"/>
      <c r="I10" s="170">
        <f t="shared" ref="I10:I21" si="0">F10+G10+H10</f>
        <v>0</v>
      </c>
      <c r="J10" s="171"/>
      <c r="K10" s="171"/>
      <c r="L10" s="171"/>
      <c r="M10" s="170">
        <f t="shared" ref="M10:M21" si="1">J10+K10+L10</f>
        <v>0</v>
      </c>
      <c r="N10" s="171">
        <f t="shared" ref="N10:N21" si="2">+F10-J10</f>
        <v>0</v>
      </c>
      <c r="O10" s="171">
        <f t="shared" ref="O10:O21" si="3">+I10-M10</f>
        <v>0</v>
      </c>
    </row>
    <row r="11" spans="2:15">
      <c r="B11" s="166">
        <v>3</v>
      </c>
      <c r="C11" s="167" t="s">
        <v>125</v>
      </c>
      <c r="D11" s="166">
        <v>1100</v>
      </c>
      <c r="E11" s="172">
        <v>3.3399999999999999E-2</v>
      </c>
      <c r="F11" s="170">
        <v>92.48</v>
      </c>
      <c r="G11" s="170">
        <v>0</v>
      </c>
      <c r="H11" s="170">
        <v>0</v>
      </c>
      <c r="I11" s="170">
        <f t="shared" si="0"/>
        <v>92.48</v>
      </c>
      <c r="J11" s="170">
        <v>83.21</v>
      </c>
      <c r="K11" s="170">
        <v>0.02</v>
      </c>
      <c r="L11" s="170">
        <v>0</v>
      </c>
      <c r="M11" s="170">
        <f t="shared" si="1"/>
        <v>83.22999999999999</v>
      </c>
      <c r="N11" s="169">
        <f t="shared" si="2"/>
        <v>9.2700000000000102</v>
      </c>
      <c r="O11" s="169">
        <f t="shared" si="3"/>
        <v>9.2500000000000142</v>
      </c>
    </row>
    <row r="12" spans="2:15">
      <c r="B12" s="166">
        <f>+B11+1</f>
        <v>4</v>
      </c>
      <c r="C12" s="167" t="s">
        <v>409</v>
      </c>
      <c r="D12" s="166">
        <v>1200</v>
      </c>
      <c r="E12" s="172">
        <v>5.28E-2</v>
      </c>
      <c r="F12" s="173">
        <v>69.157474140999994</v>
      </c>
      <c r="G12" s="170">
        <v>0</v>
      </c>
      <c r="H12" s="170">
        <v>0</v>
      </c>
      <c r="I12" s="170">
        <f t="shared" si="0"/>
        <v>69.157474140999994</v>
      </c>
      <c r="J12" s="173">
        <v>41.120688938999997</v>
      </c>
      <c r="K12" s="170">
        <f>21.12-15.33</f>
        <v>5.7900000000000009</v>
      </c>
      <c r="L12" s="170">
        <v>0</v>
      </c>
      <c r="M12" s="170">
        <f t="shared" si="1"/>
        <v>46.910688938999996</v>
      </c>
      <c r="N12" s="169">
        <f t="shared" si="2"/>
        <v>28.036785201999997</v>
      </c>
      <c r="O12" s="169">
        <f t="shared" si="3"/>
        <v>22.246785201999998</v>
      </c>
    </row>
    <row r="13" spans="2:15">
      <c r="B13" s="166">
        <f t="shared" ref="B13:B21" si="4">+B12+1</f>
        <v>5</v>
      </c>
      <c r="C13" s="167" t="s">
        <v>124</v>
      </c>
      <c r="D13" s="166">
        <v>1300</v>
      </c>
      <c r="E13" s="172">
        <v>5.28E-2</v>
      </c>
      <c r="F13" s="170">
        <f>1896.28-163.41</f>
        <v>1732.87</v>
      </c>
      <c r="G13" s="170">
        <v>0.03</v>
      </c>
      <c r="H13" s="170">
        <v>0</v>
      </c>
      <c r="I13" s="170">
        <f t="shared" si="0"/>
        <v>1732.8999999999999</v>
      </c>
      <c r="J13" s="170">
        <f>1690.75-243.18</f>
        <v>1447.57</v>
      </c>
      <c r="K13" s="170">
        <v>3.71</v>
      </c>
      <c r="L13" s="170"/>
      <c r="M13" s="170">
        <f t="shared" si="1"/>
        <v>1451.28</v>
      </c>
      <c r="N13" s="169">
        <f t="shared" si="2"/>
        <v>285.29999999999995</v>
      </c>
      <c r="O13" s="169">
        <f t="shared" si="3"/>
        <v>281.61999999999989</v>
      </c>
    </row>
    <row r="14" spans="2:15">
      <c r="B14" s="166">
        <f t="shared" si="4"/>
        <v>6</v>
      </c>
      <c r="C14" s="174" t="s">
        <v>410</v>
      </c>
      <c r="D14" s="166">
        <v>1400</v>
      </c>
      <c r="E14" s="172">
        <v>5.28E-2</v>
      </c>
      <c r="F14" s="170">
        <v>51.96</v>
      </c>
      <c r="G14" s="170">
        <v>0</v>
      </c>
      <c r="H14" s="170">
        <v>0</v>
      </c>
      <c r="I14" s="170">
        <f t="shared" si="0"/>
        <v>51.96</v>
      </c>
      <c r="J14" s="170">
        <v>49.21</v>
      </c>
      <c r="K14" s="170">
        <v>2.75</v>
      </c>
      <c r="L14" s="170">
        <v>0</v>
      </c>
      <c r="M14" s="170">
        <f t="shared" si="1"/>
        <v>51.96</v>
      </c>
      <c r="N14" s="169">
        <f t="shared" si="2"/>
        <v>2.75</v>
      </c>
      <c r="O14" s="169">
        <f t="shared" si="3"/>
        <v>0</v>
      </c>
    </row>
    <row r="15" spans="2:15">
      <c r="B15" s="166">
        <f t="shared" si="4"/>
        <v>7</v>
      </c>
      <c r="C15" s="174" t="s">
        <v>127</v>
      </c>
      <c r="D15" s="166">
        <v>1500</v>
      </c>
      <c r="E15" s="172">
        <v>5.28E-2</v>
      </c>
      <c r="F15" s="170">
        <v>195.84</v>
      </c>
      <c r="G15" s="170">
        <v>0</v>
      </c>
      <c r="H15" s="170">
        <v>0</v>
      </c>
      <c r="I15" s="170">
        <f t="shared" si="0"/>
        <v>195.84</v>
      </c>
      <c r="J15" s="170">
        <v>163.31</v>
      </c>
      <c r="K15" s="170">
        <f>12.95-7.8</f>
        <v>5.1499999999999995</v>
      </c>
      <c r="L15" s="170">
        <v>0</v>
      </c>
      <c r="M15" s="170">
        <f t="shared" si="1"/>
        <v>168.46</v>
      </c>
      <c r="N15" s="169">
        <f t="shared" si="2"/>
        <v>32.53</v>
      </c>
      <c r="O15" s="169">
        <f t="shared" si="3"/>
        <v>27.379999999999995</v>
      </c>
    </row>
    <row r="16" spans="2:15">
      <c r="B16" s="166">
        <f t="shared" si="4"/>
        <v>8</v>
      </c>
      <c r="C16" s="174" t="s">
        <v>411</v>
      </c>
      <c r="D16" s="166">
        <v>1600</v>
      </c>
      <c r="E16" s="172">
        <v>3.3399999999999999E-2</v>
      </c>
      <c r="F16" s="170">
        <v>117.55</v>
      </c>
      <c r="G16" s="170">
        <v>0</v>
      </c>
      <c r="H16" s="170">
        <v>0</v>
      </c>
      <c r="I16" s="170">
        <f t="shared" si="0"/>
        <v>117.55</v>
      </c>
      <c r="J16" s="170">
        <v>85.33</v>
      </c>
      <c r="K16" s="170">
        <f>20.46-10</f>
        <v>10.46</v>
      </c>
      <c r="L16" s="170">
        <v>0</v>
      </c>
      <c r="M16" s="170">
        <f t="shared" si="1"/>
        <v>95.789999999999992</v>
      </c>
      <c r="N16" s="169">
        <f t="shared" si="2"/>
        <v>32.22</v>
      </c>
      <c r="O16" s="169">
        <f t="shared" si="3"/>
        <v>21.760000000000005</v>
      </c>
    </row>
    <row r="17" spans="2:16">
      <c r="B17" s="166">
        <f t="shared" si="4"/>
        <v>9</v>
      </c>
      <c r="C17" s="174" t="s">
        <v>129</v>
      </c>
      <c r="D17" s="166">
        <v>1700</v>
      </c>
      <c r="E17" s="175">
        <v>9.5000000000000001E-2</v>
      </c>
      <c r="F17" s="170">
        <v>1</v>
      </c>
      <c r="G17" s="170">
        <v>0</v>
      </c>
      <c r="H17" s="170">
        <v>0</v>
      </c>
      <c r="I17" s="170">
        <f t="shared" si="0"/>
        <v>1</v>
      </c>
      <c r="J17" s="170">
        <v>0.25</v>
      </c>
      <c r="K17" s="170">
        <v>0.09</v>
      </c>
      <c r="L17" s="170">
        <v>0</v>
      </c>
      <c r="M17" s="170">
        <f t="shared" si="1"/>
        <v>0.33999999999999997</v>
      </c>
      <c r="N17" s="169">
        <f t="shared" si="2"/>
        <v>0.75</v>
      </c>
      <c r="O17" s="169">
        <f t="shared" si="3"/>
        <v>0.66</v>
      </c>
    </row>
    <row r="18" spans="2:16">
      <c r="B18" s="166">
        <f t="shared" si="4"/>
        <v>10</v>
      </c>
      <c r="C18" s="174" t="s">
        <v>412</v>
      </c>
      <c r="D18" s="166">
        <v>1800</v>
      </c>
      <c r="E18" s="172">
        <v>6.3299999999999995E-2</v>
      </c>
      <c r="F18" s="170">
        <v>1.1599999999999999</v>
      </c>
      <c r="G18" s="170">
        <v>0.06</v>
      </c>
      <c r="H18" s="170">
        <v>0</v>
      </c>
      <c r="I18" s="170">
        <f t="shared" si="0"/>
        <v>1.22</v>
      </c>
      <c r="J18" s="170">
        <v>0.82</v>
      </c>
      <c r="K18" s="170">
        <v>0.02</v>
      </c>
      <c r="L18" s="170">
        <v>0</v>
      </c>
      <c r="M18" s="170">
        <f t="shared" si="1"/>
        <v>0.84</v>
      </c>
      <c r="N18" s="169">
        <f t="shared" si="2"/>
        <v>0.33999999999999997</v>
      </c>
      <c r="O18" s="169">
        <f t="shared" si="3"/>
        <v>0.38</v>
      </c>
    </row>
    <row r="19" spans="2:16">
      <c r="B19" s="166">
        <f t="shared" si="4"/>
        <v>11</v>
      </c>
      <c r="C19" s="174" t="s">
        <v>413</v>
      </c>
      <c r="D19" s="166">
        <v>1900</v>
      </c>
      <c r="E19" s="176">
        <v>0.15</v>
      </c>
      <c r="F19" s="170">
        <v>3</v>
      </c>
      <c r="G19" s="170">
        <v>7.0000000000000007E-2</v>
      </c>
      <c r="H19" s="170">
        <v>0</v>
      </c>
      <c r="I19" s="170">
        <f t="shared" si="0"/>
        <v>3.07</v>
      </c>
      <c r="J19" s="170">
        <v>2.5099999999999998</v>
      </c>
      <c r="K19" s="170">
        <v>0.09</v>
      </c>
      <c r="L19" s="170">
        <v>0</v>
      </c>
      <c r="M19" s="170">
        <f t="shared" si="1"/>
        <v>2.5999999999999996</v>
      </c>
      <c r="N19" s="169">
        <f t="shared" si="2"/>
        <v>0.49000000000000021</v>
      </c>
      <c r="O19" s="169">
        <f t="shared" si="3"/>
        <v>0.4700000000000002</v>
      </c>
    </row>
    <row r="20" spans="2:16">
      <c r="B20" s="166">
        <f t="shared" si="4"/>
        <v>12</v>
      </c>
      <c r="C20" s="167" t="s">
        <v>131</v>
      </c>
      <c r="D20" s="168">
        <v>2100</v>
      </c>
      <c r="E20" s="177">
        <v>6.3299999999999995E-2</v>
      </c>
      <c r="F20" s="170">
        <v>1.3149999999999999</v>
      </c>
      <c r="G20" s="170">
        <v>0.01</v>
      </c>
      <c r="H20" s="170">
        <v>0</v>
      </c>
      <c r="I20" s="170">
        <f t="shared" si="0"/>
        <v>1.325</v>
      </c>
      <c r="J20" s="170">
        <v>0.77</v>
      </c>
      <c r="K20" s="170">
        <v>0.06</v>
      </c>
      <c r="L20" s="170">
        <v>0</v>
      </c>
      <c r="M20" s="170">
        <f t="shared" si="1"/>
        <v>0.83000000000000007</v>
      </c>
      <c r="N20" s="169">
        <f t="shared" si="2"/>
        <v>0.54499999999999993</v>
      </c>
      <c r="O20" s="169">
        <f t="shared" si="3"/>
        <v>0.49499999999999988</v>
      </c>
    </row>
    <row r="21" spans="2:16">
      <c r="B21" s="166">
        <f t="shared" si="4"/>
        <v>13</v>
      </c>
      <c r="C21" s="167" t="s">
        <v>414</v>
      </c>
      <c r="D21" s="168">
        <v>2200</v>
      </c>
      <c r="E21" s="177">
        <v>0.15</v>
      </c>
      <c r="F21" s="170">
        <v>0.02</v>
      </c>
      <c r="G21" s="170">
        <v>0</v>
      </c>
      <c r="H21" s="170">
        <v>0</v>
      </c>
      <c r="I21" s="170">
        <f t="shared" si="0"/>
        <v>0.02</v>
      </c>
      <c r="J21" s="170">
        <v>0.02</v>
      </c>
      <c r="K21" s="170">
        <v>0</v>
      </c>
      <c r="L21" s="170">
        <v>0</v>
      </c>
      <c r="M21" s="170">
        <f t="shared" si="1"/>
        <v>0.02</v>
      </c>
      <c r="N21" s="169">
        <f t="shared" si="2"/>
        <v>0</v>
      </c>
      <c r="O21" s="169">
        <f t="shared" si="3"/>
        <v>0</v>
      </c>
    </row>
    <row r="22" spans="2:16" ht="15.75" thickBot="1">
      <c r="B22" s="65"/>
      <c r="C22" s="66" t="s">
        <v>136</v>
      </c>
      <c r="D22" s="66"/>
      <c r="E22" s="204">
        <f>IFERROR((K22-L22)/AVERAGE(F22,I22),0)</f>
        <v>1.2396721520911208E-2</v>
      </c>
      <c r="F22" s="203">
        <f>ROUND(SUM(F9:F21),2)</f>
        <v>2269.87</v>
      </c>
      <c r="G22" s="203">
        <f t="shared" ref="G22:O22" si="5">ROUND(SUM(G9:G21),2)</f>
        <v>0.17</v>
      </c>
      <c r="H22" s="203">
        <f t="shared" si="5"/>
        <v>0</v>
      </c>
      <c r="I22" s="203">
        <f t="shared" si="5"/>
        <v>2270.04</v>
      </c>
      <c r="J22" s="203">
        <f t="shared" si="5"/>
        <v>1874.12</v>
      </c>
      <c r="K22" s="203">
        <f t="shared" si="5"/>
        <v>28.14</v>
      </c>
      <c r="L22" s="203">
        <f t="shared" si="5"/>
        <v>0</v>
      </c>
      <c r="M22" s="203">
        <f t="shared" si="5"/>
        <v>1902.26</v>
      </c>
      <c r="N22" s="203">
        <f t="shared" si="5"/>
        <v>395.75</v>
      </c>
      <c r="O22" s="203">
        <f t="shared" si="5"/>
        <v>367.78</v>
      </c>
      <c r="P22" s="165"/>
    </row>
    <row r="23" spans="2:16" ht="7.5" customHeight="1"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</row>
    <row r="24" spans="2:16">
      <c r="F24" s="210"/>
    </row>
  </sheetData>
  <mergeCells count="11">
    <mergeCell ref="B2:O2"/>
    <mergeCell ref="B3:O3"/>
    <mergeCell ref="B4:O4"/>
    <mergeCell ref="B6:O6"/>
    <mergeCell ref="B7:B8"/>
    <mergeCell ref="C7:C8"/>
    <mergeCell ref="D7:D8"/>
    <mergeCell ref="E7:E8"/>
    <mergeCell ref="F7:I7"/>
    <mergeCell ref="J7:M7"/>
    <mergeCell ref="N7:O7"/>
  </mergeCells>
  <pageMargins left="0.70866141732283505" right="0.70866141732283505" top="0.5" bottom="0.74803149606299202" header="0.31496062992126" footer="0.31496062992126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G62"/>
  <sheetViews>
    <sheetView showGridLines="0" view="pageBreakPreview" topLeftCell="A27" zoomScale="90" zoomScaleNormal="98" zoomScaleSheetLayoutView="90" workbookViewId="0">
      <selection activeCell="J49" sqref="J49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7" ht="15">
      <c r="B1" s="24"/>
    </row>
    <row r="2" spans="2:7" ht="14.25" customHeight="1">
      <c r="B2" s="228" t="s">
        <v>397</v>
      </c>
      <c r="C2" s="228"/>
      <c r="D2" s="228"/>
      <c r="E2" s="228"/>
      <c r="F2" s="228"/>
      <c r="G2" s="228"/>
    </row>
    <row r="3" spans="2:7" ht="14.25" customHeight="1">
      <c r="B3" s="228" t="s">
        <v>400</v>
      </c>
      <c r="C3" s="228"/>
      <c r="D3" s="228"/>
      <c r="E3" s="228"/>
      <c r="F3" s="228"/>
      <c r="G3" s="228"/>
    </row>
    <row r="4" spans="2:7" ht="14.25" customHeight="1">
      <c r="B4" s="228" t="s">
        <v>269</v>
      </c>
      <c r="C4" s="228"/>
      <c r="D4" s="228"/>
      <c r="E4" s="228"/>
      <c r="F4" s="228"/>
      <c r="G4" s="228"/>
    </row>
    <row r="5" spans="2:7" ht="15">
      <c r="B5" s="33" t="s">
        <v>54</v>
      </c>
      <c r="C5" s="24" t="s">
        <v>270</v>
      </c>
      <c r="D5" s="25"/>
      <c r="E5" s="25"/>
      <c r="F5" s="25"/>
    </row>
    <row r="6" spans="2:7">
      <c r="F6" s="211" t="s">
        <v>475</v>
      </c>
    </row>
    <row r="7" spans="2:7" s="13" customFormat="1" ht="15" customHeight="1">
      <c r="B7" s="232" t="s">
        <v>188</v>
      </c>
      <c r="C7" s="235" t="s">
        <v>15</v>
      </c>
      <c r="D7" s="239" t="s">
        <v>398</v>
      </c>
      <c r="E7" s="240"/>
      <c r="F7" s="241"/>
    </row>
    <row r="8" spans="2:7" s="13" customFormat="1" ht="45">
      <c r="B8" s="233"/>
      <c r="C8" s="235"/>
      <c r="D8" s="15" t="s">
        <v>366</v>
      </c>
      <c r="E8" s="15" t="s">
        <v>232</v>
      </c>
      <c r="F8" s="15" t="s">
        <v>203</v>
      </c>
    </row>
    <row r="9" spans="2:7" s="13" customFormat="1" ht="15">
      <c r="B9" s="234"/>
      <c r="C9" s="236"/>
      <c r="D9" s="15" t="s">
        <v>7</v>
      </c>
      <c r="E9" s="15" t="s">
        <v>9</v>
      </c>
      <c r="F9" s="15" t="s">
        <v>225</v>
      </c>
    </row>
    <row r="10" spans="2:7">
      <c r="B10" s="60">
        <v>1</v>
      </c>
      <c r="C10" s="26" t="s">
        <v>171</v>
      </c>
      <c r="D10" s="2"/>
      <c r="E10" s="137">
        <f>'F4'!F22*0.7</f>
        <v>1588.9089999999999</v>
      </c>
      <c r="F10" s="137">
        <f>E10</f>
        <v>1588.9089999999999</v>
      </c>
    </row>
    <row r="11" spans="2:7">
      <c r="B11" s="20">
        <f>B10+1</f>
        <v>2</v>
      </c>
      <c r="C11" s="26" t="s">
        <v>172</v>
      </c>
      <c r="D11" s="2"/>
      <c r="E11" s="137">
        <f>'F4'!J22</f>
        <v>1874.12</v>
      </c>
      <c r="F11" s="137">
        <f>E11</f>
        <v>1874.12</v>
      </c>
    </row>
    <row r="12" spans="2:7" ht="15">
      <c r="B12" s="20">
        <f t="shared" ref="B12:B22" si="0">B11+1</f>
        <v>3</v>
      </c>
      <c r="C12" s="28" t="s">
        <v>173</v>
      </c>
      <c r="D12" s="132">
        <f>D10-D11</f>
        <v>0</v>
      </c>
      <c r="E12" s="132">
        <f>IF((E10-E11)&lt;0,0,(E10-E11))</f>
        <v>0</v>
      </c>
      <c r="F12" s="132">
        <f>IF((F10-F11)&lt;0,0,(F10-F11))</f>
        <v>0</v>
      </c>
    </row>
    <row r="13" spans="2:7" ht="28.5">
      <c r="B13" s="20">
        <f t="shared" si="0"/>
        <v>4</v>
      </c>
      <c r="C13" s="69" t="s">
        <v>174</v>
      </c>
      <c r="D13" s="136"/>
      <c r="E13" s="136"/>
      <c r="F13" s="136"/>
    </row>
    <row r="14" spans="2:7" s="32" customFormat="1" ht="28.5">
      <c r="B14" s="20">
        <f t="shared" si="0"/>
        <v>5</v>
      </c>
      <c r="C14" s="37" t="s">
        <v>394</v>
      </c>
      <c r="D14" s="136"/>
      <c r="E14" s="143">
        <f>'F3'!E12*0.7</f>
        <v>0.11899999999999999</v>
      </c>
      <c r="F14" s="143">
        <f>E14</f>
        <v>0.11899999999999999</v>
      </c>
    </row>
    <row r="15" spans="2:7">
      <c r="B15" s="20">
        <f t="shared" si="0"/>
        <v>6</v>
      </c>
      <c r="C15" s="69" t="s">
        <v>179</v>
      </c>
      <c r="D15" s="152"/>
      <c r="E15" s="152">
        <f>'F1'!G12</f>
        <v>28.14</v>
      </c>
      <c r="F15" s="152">
        <f>'F1'!H12</f>
        <v>28.14</v>
      </c>
    </row>
    <row r="16" spans="2:7" ht="15">
      <c r="B16" s="20">
        <f t="shared" si="0"/>
        <v>7</v>
      </c>
      <c r="C16" s="26" t="s">
        <v>175</v>
      </c>
      <c r="D16" s="132"/>
      <c r="E16" s="132">
        <f>IF((E12-E13+E14-E15)&lt;0,0,(E12-E13+E14-E15))</f>
        <v>0</v>
      </c>
      <c r="F16" s="132">
        <f>IF((F12-F13+F14-F15)&lt;0,0,(F12-F13+F14-F15))</f>
        <v>0</v>
      </c>
    </row>
    <row r="17" spans="2:6" ht="15">
      <c r="B17" s="20">
        <f t="shared" si="0"/>
        <v>8</v>
      </c>
      <c r="C17" s="26" t="s">
        <v>176</v>
      </c>
      <c r="D17" s="132"/>
      <c r="E17" s="132">
        <f t="shared" ref="E17:F17" si="1">E10-E13+E14-E15</f>
        <v>1560.8879999999997</v>
      </c>
      <c r="F17" s="132">
        <f t="shared" si="1"/>
        <v>1560.8879999999997</v>
      </c>
    </row>
    <row r="18" spans="2:6" ht="15">
      <c r="B18" s="20">
        <f t="shared" si="0"/>
        <v>9</v>
      </c>
      <c r="C18" s="26" t="s">
        <v>209</v>
      </c>
      <c r="D18" s="132"/>
      <c r="E18" s="132">
        <f t="shared" ref="E18:F18" si="2">AVERAGE(E12,E16)</f>
        <v>0</v>
      </c>
      <c r="F18" s="132">
        <f t="shared" si="2"/>
        <v>0</v>
      </c>
    </row>
    <row r="19" spans="2:6">
      <c r="B19" s="20">
        <f t="shared" si="0"/>
        <v>10</v>
      </c>
      <c r="C19" s="69" t="s">
        <v>208</v>
      </c>
      <c r="D19" s="134"/>
      <c r="E19" s="134">
        <v>9.5500000000000002E-2</v>
      </c>
      <c r="F19" s="134">
        <f>E19</f>
        <v>9.5500000000000002E-2</v>
      </c>
    </row>
    <row r="20" spans="2:6" ht="15">
      <c r="B20" s="20">
        <f t="shared" si="0"/>
        <v>11</v>
      </c>
      <c r="C20" s="26" t="s">
        <v>271</v>
      </c>
      <c r="D20" s="132">
        <f>D18*D19</f>
        <v>0</v>
      </c>
      <c r="E20" s="132">
        <f>E18*E19</f>
        <v>0</v>
      </c>
      <c r="F20" s="132">
        <f>F18*F19</f>
        <v>0</v>
      </c>
    </row>
    <row r="21" spans="2:6">
      <c r="B21" s="20">
        <f t="shared" si="0"/>
        <v>12</v>
      </c>
      <c r="C21" s="26" t="s">
        <v>274</v>
      </c>
      <c r="D21" s="70"/>
      <c r="E21" s="70"/>
      <c r="F21" s="70"/>
    </row>
    <row r="22" spans="2:6" ht="15">
      <c r="B22" s="20">
        <f t="shared" si="0"/>
        <v>13</v>
      </c>
      <c r="C22" s="26" t="s">
        <v>275</v>
      </c>
      <c r="D22" s="132">
        <v>8.39</v>
      </c>
      <c r="E22" s="132">
        <f>IF((E20+E21)&lt;0,0,(E20+E21))</f>
        <v>0</v>
      </c>
      <c r="F22" s="132">
        <f>IF((F20+F21)&lt;0,0,(F20+F21))</f>
        <v>0</v>
      </c>
    </row>
    <row r="23" spans="2:6">
      <c r="B23" s="34"/>
    </row>
    <row r="24" spans="2:6">
      <c r="B24" s="34"/>
      <c r="C24" s="5" t="s">
        <v>234</v>
      </c>
    </row>
    <row r="25" spans="2:6">
      <c r="C25" s="5" t="s">
        <v>395</v>
      </c>
    </row>
    <row r="27" spans="2:6" ht="15">
      <c r="B27" s="33" t="s">
        <v>59</v>
      </c>
      <c r="C27" s="24" t="s">
        <v>272</v>
      </c>
    </row>
    <row r="29" spans="2:6" ht="15" customHeight="1">
      <c r="B29" s="232" t="s">
        <v>188</v>
      </c>
      <c r="C29" s="235" t="s">
        <v>15</v>
      </c>
      <c r="D29" s="239" t="s">
        <v>398</v>
      </c>
      <c r="E29" s="240"/>
      <c r="F29" s="241"/>
    </row>
    <row r="30" spans="2:6" ht="15">
      <c r="B30" s="233"/>
      <c r="C30" s="235"/>
      <c r="D30" s="239" t="s">
        <v>232</v>
      </c>
      <c r="E30" s="240"/>
      <c r="F30" s="241"/>
    </row>
    <row r="31" spans="2:6" ht="15">
      <c r="B31" s="234"/>
      <c r="C31" s="236"/>
      <c r="D31" s="239" t="s">
        <v>9</v>
      </c>
      <c r="E31" s="240"/>
      <c r="F31" s="241"/>
    </row>
    <row r="32" spans="2:6" ht="15">
      <c r="B32" s="20">
        <v>1</v>
      </c>
      <c r="C32" s="39" t="s">
        <v>187</v>
      </c>
      <c r="D32" s="259"/>
      <c r="E32" s="260"/>
      <c r="F32" s="261"/>
    </row>
    <row r="33" spans="2:6">
      <c r="B33" s="26"/>
      <c r="C33" s="26" t="s">
        <v>10</v>
      </c>
      <c r="D33" s="259"/>
      <c r="E33" s="260"/>
      <c r="F33" s="261"/>
    </row>
    <row r="34" spans="2:6">
      <c r="B34" s="26"/>
      <c r="C34" s="26" t="s">
        <v>163</v>
      </c>
      <c r="D34" s="259"/>
      <c r="E34" s="260"/>
      <c r="F34" s="261"/>
    </row>
    <row r="35" spans="2:6">
      <c r="B35" s="26"/>
      <c r="C35" s="26" t="s">
        <v>11</v>
      </c>
      <c r="D35" s="259"/>
      <c r="E35" s="260"/>
      <c r="F35" s="261"/>
    </row>
    <row r="36" spans="2:6" ht="15">
      <c r="B36" s="26"/>
      <c r="C36" s="26" t="s">
        <v>12</v>
      </c>
      <c r="D36" s="262">
        <f>D33+D34-D35</f>
        <v>0</v>
      </c>
      <c r="E36" s="263"/>
      <c r="F36" s="264"/>
    </row>
    <row r="37" spans="2:6" ht="15">
      <c r="B37" s="26"/>
      <c r="C37" s="26" t="s">
        <v>210</v>
      </c>
      <c r="D37" s="262">
        <f>AVERAGE(D33,D36)</f>
        <v>0</v>
      </c>
      <c r="E37" s="263"/>
      <c r="F37" s="264"/>
    </row>
    <row r="38" spans="2:6">
      <c r="B38" s="26"/>
      <c r="C38" s="26" t="s">
        <v>13</v>
      </c>
      <c r="D38" s="265"/>
      <c r="E38" s="266"/>
      <c r="F38" s="267"/>
    </row>
    <row r="39" spans="2:6" ht="15">
      <c r="B39" s="26"/>
      <c r="C39" s="26" t="s">
        <v>271</v>
      </c>
      <c r="D39" s="262">
        <f>D37*D38</f>
        <v>0</v>
      </c>
      <c r="E39" s="263"/>
      <c r="F39" s="264"/>
    </row>
    <row r="40" spans="2:6">
      <c r="B40" s="26"/>
      <c r="C40" s="26" t="s">
        <v>274</v>
      </c>
      <c r="D40" s="268"/>
      <c r="E40" s="269"/>
      <c r="F40" s="270"/>
    </row>
    <row r="41" spans="2:6" ht="15">
      <c r="B41" s="26"/>
      <c r="C41" s="26" t="s">
        <v>275</v>
      </c>
      <c r="D41" s="262">
        <f>D39+D40</f>
        <v>0</v>
      </c>
      <c r="E41" s="263"/>
      <c r="F41" s="264"/>
    </row>
    <row r="42" spans="2:6" ht="15">
      <c r="B42" s="20">
        <v>2</v>
      </c>
      <c r="C42" s="39" t="s">
        <v>186</v>
      </c>
      <c r="D42" s="268"/>
      <c r="E42" s="269"/>
      <c r="F42" s="270"/>
    </row>
    <row r="43" spans="2:6">
      <c r="B43" s="26"/>
      <c r="C43" s="26" t="s">
        <v>10</v>
      </c>
      <c r="D43" s="268"/>
      <c r="E43" s="269"/>
      <c r="F43" s="270"/>
    </row>
    <row r="44" spans="2:6">
      <c r="B44" s="26"/>
      <c r="C44" s="26" t="s">
        <v>163</v>
      </c>
      <c r="D44" s="268"/>
      <c r="E44" s="269"/>
      <c r="F44" s="270"/>
    </row>
    <row r="45" spans="2:6">
      <c r="B45" s="26"/>
      <c r="C45" s="26" t="s">
        <v>11</v>
      </c>
      <c r="D45" s="268"/>
      <c r="E45" s="269"/>
      <c r="F45" s="270"/>
    </row>
    <row r="46" spans="2:6" ht="15">
      <c r="B46" s="26"/>
      <c r="C46" s="26" t="s">
        <v>12</v>
      </c>
      <c r="D46" s="262">
        <f>D43+D44-D45</f>
        <v>0</v>
      </c>
      <c r="E46" s="263"/>
      <c r="F46" s="264"/>
    </row>
    <row r="47" spans="2:6" ht="15">
      <c r="B47" s="26"/>
      <c r="C47" s="26" t="s">
        <v>210</v>
      </c>
      <c r="D47" s="262">
        <f>AVERAGE(D43,D46)</f>
        <v>0</v>
      </c>
      <c r="E47" s="263"/>
      <c r="F47" s="264"/>
    </row>
    <row r="48" spans="2:6">
      <c r="B48" s="26"/>
      <c r="C48" s="26" t="s">
        <v>13</v>
      </c>
      <c r="D48" s="265"/>
      <c r="E48" s="266"/>
      <c r="F48" s="267"/>
    </row>
    <row r="49" spans="2:6" ht="15">
      <c r="B49" s="26"/>
      <c r="C49" s="26" t="s">
        <v>271</v>
      </c>
      <c r="D49" s="262">
        <f>D47*D48</f>
        <v>0</v>
      </c>
      <c r="E49" s="263"/>
      <c r="F49" s="264"/>
    </row>
    <row r="50" spans="2:6">
      <c r="B50" s="26"/>
      <c r="C50" s="26" t="s">
        <v>274</v>
      </c>
      <c r="D50" s="268"/>
      <c r="E50" s="269"/>
      <c r="F50" s="270"/>
    </row>
    <row r="51" spans="2:6" ht="15">
      <c r="B51" s="26"/>
      <c r="C51" s="26" t="s">
        <v>275</v>
      </c>
      <c r="D51" s="262">
        <f>D49+D50</f>
        <v>0</v>
      </c>
      <c r="E51" s="263"/>
      <c r="F51" s="264"/>
    </row>
    <row r="52" spans="2:6">
      <c r="B52" s="26"/>
      <c r="C52" s="26" t="s">
        <v>273</v>
      </c>
      <c r="D52" s="268"/>
      <c r="E52" s="269"/>
      <c r="F52" s="270"/>
    </row>
    <row r="53" spans="2:6" ht="15">
      <c r="B53" s="20"/>
      <c r="C53" s="39" t="s">
        <v>136</v>
      </c>
      <c r="D53" s="268"/>
      <c r="E53" s="269"/>
      <c r="F53" s="270"/>
    </row>
    <row r="54" spans="2:6" ht="15">
      <c r="B54" s="26"/>
      <c r="C54" s="26" t="s">
        <v>10</v>
      </c>
      <c r="D54" s="262">
        <f>D33+D43</f>
        <v>0</v>
      </c>
      <c r="E54" s="263"/>
      <c r="F54" s="264"/>
    </row>
    <row r="55" spans="2:6" ht="15">
      <c r="B55" s="26"/>
      <c r="C55" s="26" t="s">
        <v>163</v>
      </c>
      <c r="D55" s="262">
        <f>D34+D44</f>
        <v>0</v>
      </c>
      <c r="E55" s="263"/>
      <c r="F55" s="264"/>
    </row>
    <row r="56" spans="2:6" ht="15">
      <c r="B56" s="26"/>
      <c r="C56" s="26" t="s">
        <v>11</v>
      </c>
      <c r="D56" s="262">
        <f>D35+D45</f>
        <v>0</v>
      </c>
      <c r="E56" s="263"/>
      <c r="F56" s="264"/>
    </row>
    <row r="57" spans="2:6" ht="15">
      <c r="B57" s="26"/>
      <c r="C57" s="26" t="s">
        <v>12</v>
      </c>
      <c r="D57" s="262">
        <f>D54+D55-D56</f>
        <v>0</v>
      </c>
      <c r="E57" s="263"/>
      <c r="F57" s="264"/>
    </row>
    <row r="58" spans="2:6" ht="15">
      <c r="B58" s="26"/>
      <c r="C58" s="26" t="s">
        <v>210</v>
      </c>
      <c r="D58" s="262">
        <f>AVERAGE(D54,D57)</f>
        <v>0</v>
      </c>
      <c r="E58" s="263"/>
      <c r="F58" s="264"/>
    </row>
    <row r="59" spans="2:6" ht="15">
      <c r="B59" s="26"/>
      <c r="C59" s="26" t="s">
        <v>13</v>
      </c>
      <c r="D59" s="271">
        <f>IFERROR(D60/D58,0)</f>
        <v>0</v>
      </c>
      <c r="E59" s="272"/>
      <c r="F59" s="273"/>
    </row>
    <row r="60" spans="2:6" ht="15">
      <c r="B60" s="26"/>
      <c r="C60" s="26" t="s">
        <v>271</v>
      </c>
      <c r="D60" s="262">
        <f t="shared" ref="D60:D61" si="3">D39+D49</f>
        <v>0</v>
      </c>
      <c r="E60" s="263"/>
      <c r="F60" s="264"/>
    </row>
    <row r="61" spans="2:6" ht="15">
      <c r="B61" s="26"/>
      <c r="C61" s="26" t="s">
        <v>274</v>
      </c>
      <c r="D61" s="262">
        <f t="shared" si="3"/>
        <v>0</v>
      </c>
      <c r="E61" s="263"/>
      <c r="F61" s="264"/>
    </row>
    <row r="62" spans="2:6" ht="15">
      <c r="B62" s="26"/>
      <c r="C62" s="26" t="s">
        <v>275</v>
      </c>
      <c r="D62" s="262">
        <f>D60+D61</f>
        <v>0</v>
      </c>
      <c r="E62" s="263"/>
      <c r="F62" s="264"/>
    </row>
  </sheetData>
  <mergeCells count="42">
    <mergeCell ref="D62:F62"/>
    <mergeCell ref="D57:F57"/>
    <mergeCell ref="D58:F58"/>
    <mergeCell ref="D59:F59"/>
    <mergeCell ref="D60:F60"/>
    <mergeCell ref="D61:F61"/>
    <mergeCell ref="D52:F52"/>
    <mergeCell ref="D53:F53"/>
    <mergeCell ref="D54:F54"/>
    <mergeCell ref="D55:F55"/>
    <mergeCell ref="D56:F56"/>
    <mergeCell ref="D47:F47"/>
    <mergeCell ref="D48:F48"/>
    <mergeCell ref="D49:F49"/>
    <mergeCell ref="D50:F50"/>
    <mergeCell ref="D51:F51"/>
    <mergeCell ref="D42:F42"/>
    <mergeCell ref="D43:F43"/>
    <mergeCell ref="D44:F44"/>
    <mergeCell ref="D45:F45"/>
    <mergeCell ref="D46:F46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B2:G2"/>
    <mergeCell ref="B3:G3"/>
    <mergeCell ref="B4:G4"/>
    <mergeCell ref="B29:B31"/>
    <mergeCell ref="C29:C31"/>
    <mergeCell ref="B7:B9"/>
    <mergeCell ref="C7:C9"/>
    <mergeCell ref="D7:F7"/>
    <mergeCell ref="D29:F29"/>
    <mergeCell ref="D30:F30"/>
    <mergeCell ref="D31:F31"/>
  </mergeCells>
  <pageMargins left="0.70866141699999996" right="0.20866141699999999" top="0.25" bottom="0.74803149606299202" header="0.31496062992126" footer="0.31496062992126"/>
  <pageSetup paperSize="9" orientation="landscape" r:id="rId1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F23"/>
  <sheetViews>
    <sheetView showGridLines="0" view="pageBreakPreview" zoomScale="90" zoomScaleNormal="95" zoomScaleSheetLayoutView="90" workbookViewId="0">
      <selection activeCell="M23" sqref="M2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4"/>
    </row>
    <row r="2" spans="2:6" ht="14.25" customHeight="1">
      <c r="B2" s="228" t="s">
        <v>397</v>
      </c>
      <c r="C2" s="228"/>
      <c r="D2" s="228"/>
      <c r="E2" s="228"/>
      <c r="F2" s="228"/>
    </row>
    <row r="3" spans="2:6" ht="14.25" customHeight="1">
      <c r="B3" s="228" t="s">
        <v>400</v>
      </c>
      <c r="C3" s="228"/>
      <c r="D3" s="228"/>
      <c r="E3" s="228"/>
      <c r="F3" s="228"/>
    </row>
    <row r="4" spans="2:6" ht="14.25" customHeight="1">
      <c r="B4" s="228" t="s">
        <v>276</v>
      </c>
      <c r="C4" s="228"/>
      <c r="D4" s="228"/>
      <c r="E4" s="228"/>
      <c r="F4" s="228"/>
    </row>
    <row r="5" spans="2:6" ht="15">
      <c r="B5" s="33"/>
      <c r="C5" s="24"/>
      <c r="D5" s="25"/>
      <c r="E5" s="25"/>
      <c r="F5" s="25"/>
    </row>
    <row r="6" spans="2:6">
      <c r="F6" s="211" t="s">
        <v>475</v>
      </c>
    </row>
    <row r="7" spans="2:6" s="13" customFormat="1" ht="15" customHeight="1">
      <c r="B7" s="232" t="s">
        <v>188</v>
      </c>
      <c r="C7" s="235" t="s">
        <v>15</v>
      </c>
      <c r="D7" s="239" t="s">
        <v>398</v>
      </c>
      <c r="E7" s="240"/>
      <c r="F7" s="241"/>
    </row>
    <row r="8" spans="2:6" s="13" customFormat="1" ht="45">
      <c r="B8" s="233"/>
      <c r="C8" s="235"/>
      <c r="D8" s="15" t="s">
        <v>366</v>
      </c>
      <c r="E8" s="15" t="s">
        <v>232</v>
      </c>
      <c r="F8" s="15" t="s">
        <v>203</v>
      </c>
    </row>
    <row r="9" spans="2:6" s="13" customFormat="1" ht="15">
      <c r="B9" s="234"/>
      <c r="C9" s="236"/>
      <c r="D9" s="15" t="s">
        <v>7</v>
      </c>
      <c r="E9" s="15" t="s">
        <v>9</v>
      </c>
      <c r="F9" s="15" t="s">
        <v>225</v>
      </c>
    </row>
    <row r="10" spans="2:6">
      <c r="B10" s="60">
        <v>1</v>
      </c>
      <c r="C10" s="26" t="s">
        <v>277</v>
      </c>
      <c r="D10" s="2"/>
      <c r="E10" s="137">
        <f>'F12'!F17*'F10'!F23*30/366/10</f>
        <v>98.790403002935903</v>
      </c>
      <c r="F10" s="143">
        <f>E10</f>
        <v>98.790403002935903</v>
      </c>
    </row>
    <row r="11" spans="2:6">
      <c r="B11" s="20">
        <f>B10+1</f>
        <v>2</v>
      </c>
      <c r="C11" s="26" t="s">
        <v>278</v>
      </c>
      <c r="D11" s="2"/>
      <c r="E11" s="137">
        <f>E10</f>
        <v>98.790403002935903</v>
      </c>
      <c r="F11" s="143">
        <f>E11</f>
        <v>98.790403002935903</v>
      </c>
    </row>
    <row r="12" spans="2:6">
      <c r="B12" s="20">
        <f t="shared" ref="B12:B20" si="0">B11+1</f>
        <v>3</v>
      </c>
      <c r="C12" s="28" t="s">
        <v>279</v>
      </c>
      <c r="D12" s="2"/>
      <c r="E12" s="137">
        <f>'F10'!F23*'F12'!F18*2/12/10</f>
        <v>1.4318390060857562</v>
      </c>
      <c r="F12" s="143">
        <f>E12</f>
        <v>1.4318390060857562</v>
      </c>
    </row>
    <row r="13" spans="2:6">
      <c r="B13" s="20">
        <f t="shared" si="0"/>
        <v>4</v>
      </c>
      <c r="C13" s="69" t="s">
        <v>280</v>
      </c>
      <c r="D13" s="136">
        <f>'F2'!E14/12</f>
        <v>16.379166666666666</v>
      </c>
      <c r="E13" s="136">
        <f>'F2'!F14/12</f>
        <v>22.690833333333334</v>
      </c>
      <c r="F13" s="160">
        <f>'F2'!G14/12</f>
        <v>22.690833333333334</v>
      </c>
    </row>
    <row r="14" spans="2:6" s="32" customFormat="1" ht="15">
      <c r="B14" s="20">
        <f t="shared" si="0"/>
        <v>5</v>
      </c>
      <c r="C14" s="37" t="s">
        <v>281</v>
      </c>
      <c r="D14" s="70"/>
      <c r="E14" s="143">
        <f>'F1'!G11*20%</f>
        <v>54.458000000000006</v>
      </c>
      <c r="F14" s="143">
        <f>'F1'!H11*20%</f>
        <v>54.458000000000006</v>
      </c>
    </row>
    <row r="15" spans="2:6">
      <c r="B15" s="20">
        <f t="shared" si="0"/>
        <v>6</v>
      </c>
      <c r="C15" s="69" t="s">
        <v>392</v>
      </c>
      <c r="D15" s="136">
        <f>'F1'!F22*2/12</f>
        <v>278.64833333333331</v>
      </c>
      <c r="E15" s="136">
        <f ca="1">'F1'!G22*2/12</f>
        <v>281.86397704918858</v>
      </c>
      <c r="F15" s="136">
        <f ca="1">'F1'!H22*2/12</f>
        <v>281.86397704918858</v>
      </c>
    </row>
    <row r="16" spans="2:6">
      <c r="B16" s="20"/>
      <c r="C16" s="69" t="s">
        <v>282</v>
      </c>
      <c r="D16" s="70"/>
      <c r="E16" s="28"/>
      <c r="F16" s="3"/>
    </row>
    <row r="17" spans="2:6">
      <c r="B17" s="20">
        <f>B15+1</f>
        <v>7</v>
      </c>
      <c r="C17" s="26" t="s">
        <v>393</v>
      </c>
      <c r="D17" s="136">
        <f>'F1'!F21/12</f>
        <v>107.44666666666666</v>
      </c>
      <c r="E17" s="136">
        <f>'F10'!F23*'F12'!F19*30/366/10</f>
        <v>99.49458612068301</v>
      </c>
      <c r="F17" s="136">
        <f>E17</f>
        <v>99.49458612068301</v>
      </c>
    </row>
    <row r="18" spans="2:6" ht="15">
      <c r="B18" s="20">
        <f t="shared" si="0"/>
        <v>8</v>
      </c>
      <c r="C18" s="26" t="s">
        <v>52</v>
      </c>
      <c r="D18" s="132">
        <f>SUM(D10:D15)-D17</f>
        <v>187.58083333333332</v>
      </c>
      <c r="E18" s="132">
        <f t="shared" ref="E18:F18" ca="1" si="1">SUM(E10:E15)-E17</f>
        <v>458.53086927379638</v>
      </c>
      <c r="F18" s="132">
        <f t="shared" ca="1" si="1"/>
        <v>458.53086927379638</v>
      </c>
    </row>
    <row r="19" spans="2:6">
      <c r="B19" s="20">
        <f t="shared" si="0"/>
        <v>9</v>
      </c>
      <c r="C19" s="26" t="s">
        <v>283</v>
      </c>
      <c r="D19" s="134"/>
      <c r="E19" s="134">
        <v>0.1008</v>
      </c>
      <c r="F19" s="134">
        <v>0.1008</v>
      </c>
    </row>
    <row r="20" spans="2:6" ht="15">
      <c r="B20" s="20">
        <f t="shared" si="0"/>
        <v>10</v>
      </c>
      <c r="C20" s="69" t="s">
        <v>284</v>
      </c>
      <c r="D20" s="132">
        <v>30.55</v>
      </c>
      <c r="E20" s="132">
        <f t="shared" ref="E20:F20" ca="1" si="2">E18*E19</f>
        <v>46.219911622798676</v>
      </c>
      <c r="F20" s="132">
        <f t="shared" ca="1" si="2"/>
        <v>46.219911622798676</v>
      </c>
    </row>
    <row r="21" spans="2:6">
      <c r="D21" s="178"/>
    </row>
    <row r="22" spans="2:6">
      <c r="B22" s="5" t="s">
        <v>234</v>
      </c>
    </row>
    <row r="23" spans="2:6" ht="31.5" customHeight="1">
      <c r="B23" s="274" t="s">
        <v>477</v>
      </c>
      <c r="C23" s="274"/>
      <c r="D23" s="274"/>
      <c r="E23" s="274"/>
      <c r="F23" s="274"/>
    </row>
  </sheetData>
  <mergeCells count="7">
    <mergeCell ref="B2:F2"/>
    <mergeCell ref="B23:F23"/>
    <mergeCell ref="B7:B9"/>
    <mergeCell ref="C7:C9"/>
    <mergeCell ref="D7:F7"/>
    <mergeCell ref="B4:F4"/>
    <mergeCell ref="B3:F3"/>
  </mergeCells>
  <printOptions horizontalCentered="1" verticalCentered="1"/>
  <pageMargins left="0.70866141732283505" right="0.70866141732283505" top="0" bottom="0.74803149606299202" header="0.31496062992126" footer="0.31496062992126"/>
  <pageSetup paperSize="9" scale="140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showGridLines="0" showRuler="0" showWhiteSpace="0" view="pageLayout" zoomScale="84" zoomScaleNormal="96" zoomScaleSheetLayoutView="90" zoomScalePageLayoutView="84" workbookViewId="0">
      <selection activeCell="G27" sqref="G27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9" width="11.7109375" style="5" bestFit="1" customWidth="1"/>
    <col min="10" max="16384" width="9.28515625" style="5"/>
  </cols>
  <sheetData>
    <row r="1" spans="2:6" ht="15">
      <c r="B1" s="24"/>
    </row>
    <row r="2" spans="2:6" ht="14.25" customHeight="1">
      <c r="B2" s="228" t="s">
        <v>397</v>
      </c>
      <c r="C2" s="228"/>
      <c r="D2" s="228"/>
      <c r="E2" s="228"/>
      <c r="F2" s="228"/>
    </row>
    <row r="3" spans="2:6" ht="14.25" customHeight="1">
      <c r="B3" s="228" t="s">
        <v>400</v>
      </c>
      <c r="C3" s="228"/>
      <c r="D3" s="228"/>
      <c r="E3" s="228"/>
      <c r="F3" s="228"/>
    </row>
    <row r="4" spans="2:6" ht="14.25" customHeight="1">
      <c r="B4" s="228" t="s">
        <v>285</v>
      </c>
      <c r="C4" s="228"/>
      <c r="D4" s="228"/>
      <c r="E4" s="228"/>
      <c r="F4" s="228"/>
    </row>
    <row r="5" spans="2:6" ht="15">
      <c r="B5" s="33"/>
      <c r="C5" s="24"/>
      <c r="D5" s="25"/>
      <c r="E5" s="25"/>
      <c r="F5" s="25"/>
    </row>
    <row r="6" spans="2:6">
      <c r="F6" s="211" t="s">
        <v>475</v>
      </c>
    </row>
    <row r="7" spans="2:6" s="13" customFormat="1" ht="15" customHeight="1">
      <c r="B7" s="232" t="s">
        <v>188</v>
      </c>
      <c r="C7" s="235" t="s">
        <v>15</v>
      </c>
      <c r="D7" s="239" t="s">
        <v>398</v>
      </c>
      <c r="E7" s="240"/>
      <c r="F7" s="241"/>
    </row>
    <row r="8" spans="2:6" s="13" customFormat="1" ht="45">
      <c r="B8" s="233"/>
      <c r="C8" s="235"/>
      <c r="D8" s="15" t="s">
        <v>366</v>
      </c>
      <c r="E8" s="15" t="s">
        <v>232</v>
      </c>
      <c r="F8" s="15" t="s">
        <v>203</v>
      </c>
    </row>
    <row r="9" spans="2:6" s="13" customFormat="1" ht="15">
      <c r="B9" s="234"/>
      <c r="C9" s="236"/>
      <c r="D9" s="15" t="s">
        <v>7</v>
      </c>
      <c r="E9" s="15" t="s">
        <v>9</v>
      </c>
      <c r="F9" s="15" t="s">
        <v>225</v>
      </c>
    </row>
    <row r="10" spans="2:6">
      <c r="B10" s="60">
        <v>1</v>
      </c>
      <c r="C10" s="26" t="s">
        <v>219</v>
      </c>
      <c r="D10" s="146"/>
      <c r="E10" s="40">
        <f>'F4'!F22*0.3</f>
        <v>680.9609999999999</v>
      </c>
      <c r="F10" s="40">
        <f>E10</f>
        <v>680.9609999999999</v>
      </c>
    </row>
    <row r="11" spans="2:6">
      <c r="B11" s="20">
        <f>B10+1</f>
        <v>2</v>
      </c>
      <c r="C11" s="26" t="s">
        <v>220</v>
      </c>
      <c r="D11" s="146"/>
      <c r="E11" s="143">
        <f>F3.1!H12</f>
        <v>0.17</v>
      </c>
      <c r="F11" s="143">
        <f>E11</f>
        <v>0.17</v>
      </c>
    </row>
    <row r="12" spans="2:6">
      <c r="B12" s="20">
        <f t="shared" ref="B12:B22" si="0">B11+1</f>
        <v>3</v>
      </c>
      <c r="C12" s="28" t="s">
        <v>16</v>
      </c>
      <c r="D12" s="148">
        <f>D11*25%</f>
        <v>0</v>
      </c>
      <c r="E12" s="148">
        <f>E11*30%</f>
        <v>5.1000000000000004E-2</v>
      </c>
      <c r="F12" s="148">
        <f>E12</f>
        <v>5.1000000000000004E-2</v>
      </c>
    </row>
    <row r="13" spans="2:6" ht="28.5">
      <c r="B13" s="20">
        <f t="shared" si="0"/>
        <v>4</v>
      </c>
      <c r="C13" s="69" t="s">
        <v>17</v>
      </c>
      <c r="D13" s="150"/>
      <c r="E13" s="40"/>
      <c r="F13" s="146"/>
    </row>
    <row r="14" spans="2:6" s="32" customFormat="1" ht="15">
      <c r="B14" s="20">
        <f t="shared" si="0"/>
        <v>5</v>
      </c>
      <c r="C14" s="37" t="s">
        <v>18</v>
      </c>
      <c r="D14" s="151">
        <f>D10+D12-D13</f>
        <v>0</v>
      </c>
      <c r="E14" s="151">
        <f t="shared" ref="E14" si="1">E10+E12-E13</f>
        <v>681.01199999999994</v>
      </c>
      <c r="F14" s="151">
        <f>F10+F12-F13</f>
        <v>681.01199999999994</v>
      </c>
    </row>
    <row r="15" spans="2:6" s="32" customFormat="1" ht="15">
      <c r="B15" s="20"/>
      <c r="C15" s="71" t="s">
        <v>286</v>
      </c>
      <c r="D15" s="70"/>
      <c r="E15" s="28"/>
      <c r="F15" s="3"/>
    </row>
    <row r="16" spans="2:6" s="32" customFormat="1" ht="15">
      <c r="B16" s="20">
        <f>B14+1</f>
        <v>6</v>
      </c>
      <c r="C16" s="37" t="s">
        <v>287</v>
      </c>
      <c r="D16" s="133">
        <v>0.155</v>
      </c>
      <c r="E16" s="133">
        <v>0.155</v>
      </c>
      <c r="F16" s="133">
        <v>0.155</v>
      </c>
    </row>
    <row r="17" spans="2:6" s="32" customFormat="1" ht="15">
      <c r="B17" s="20">
        <f>B16+1</f>
        <v>7</v>
      </c>
      <c r="C17" s="37" t="s">
        <v>288</v>
      </c>
      <c r="D17" s="134">
        <v>0.17782000000000001</v>
      </c>
      <c r="E17" s="134">
        <v>0.25168000000000001</v>
      </c>
      <c r="F17" s="134">
        <v>0.25168000000000001</v>
      </c>
    </row>
    <row r="18" spans="2:6" s="32" customFormat="1" ht="15">
      <c r="B18" s="20">
        <f>B17+1</f>
        <v>8</v>
      </c>
      <c r="C18" s="29" t="s">
        <v>286</v>
      </c>
      <c r="D18" s="135">
        <f>D16/(1-D17)</f>
        <v>0.18852319443430879</v>
      </c>
      <c r="E18" s="135">
        <f t="shared" ref="E18:F18" si="2">E16/(1-E17)</f>
        <v>0.20713063929869574</v>
      </c>
      <c r="F18" s="135">
        <f t="shared" si="2"/>
        <v>0.20713063929869574</v>
      </c>
    </row>
    <row r="19" spans="2:6" ht="15">
      <c r="B19" s="20"/>
      <c r="C19" s="71" t="s">
        <v>177</v>
      </c>
      <c r="D19" s="131"/>
      <c r="E19" s="28"/>
      <c r="F19" s="3"/>
    </row>
    <row r="20" spans="2:6" ht="17.25" customHeight="1">
      <c r="B20" s="20">
        <f>B18+1</f>
        <v>9</v>
      </c>
      <c r="C20" s="69" t="s">
        <v>221</v>
      </c>
      <c r="D20" s="132">
        <f>D10*D18</f>
        <v>0</v>
      </c>
      <c r="E20" s="132">
        <f t="shared" ref="E20:F20" si="3">E10*E18</f>
        <v>141.04788726747913</v>
      </c>
      <c r="F20" s="132">
        <f t="shared" si="3"/>
        <v>141.04788726747913</v>
      </c>
    </row>
    <row r="21" spans="2:6" ht="18.75" customHeight="1">
      <c r="B21" s="20">
        <f t="shared" si="0"/>
        <v>10</v>
      </c>
      <c r="C21" s="69" t="s">
        <v>222</v>
      </c>
      <c r="D21" s="132">
        <f>AVERAGE(D10,D14)*D18-D20</f>
        <v>0</v>
      </c>
      <c r="E21" s="132">
        <f t="shared" ref="E21:F21" si="4">AVERAGE(E10,E14)*E18-E20</f>
        <v>5.2818313021418817E-3</v>
      </c>
      <c r="F21" s="132">
        <f t="shared" si="4"/>
        <v>5.2818313021418817E-3</v>
      </c>
    </row>
    <row r="22" spans="2:6" ht="15">
      <c r="B22" s="20">
        <f t="shared" si="0"/>
        <v>11</v>
      </c>
      <c r="C22" s="39" t="s">
        <v>178</v>
      </c>
      <c r="D22" s="132">
        <v>127.89</v>
      </c>
      <c r="E22" s="132">
        <f>ROUND((E20+E21),2)</f>
        <v>141.05000000000001</v>
      </c>
      <c r="F22" s="132">
        <f>ROUND((F20+F21),2)</f>
        <v>141.05000000000001</v>
      </c>
    </row>
    <row r="23" spans="2:6">
      <c r="C23" s="5" t="s">
        <v>234</v>
      </c>
    </row>
    <row r="24" spans="2:6">
      <c r="C24" s="5" t="s">
        <v>395</v>
      </c>
    </row>
  </sheetData>
  <mergeCells count="6">
    <mergeCell ref="B2:F2"/>
    <mergeCell ref="B7:B9"/>
    <mergeCell ref="C7:C9"/>
    <mergeCell ref="D7:F7"/>
    <mergeCell ref="B4:F4"/>
    <mergeCell ref="B3:F3"/>
  </mergeCells>
  <pageMargins left="0.70866141699999996" right="0.20866141699999999" top="0.25" bottom="0.24803149599999999" header="0.31496062992126" footer="0.31496062992126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3"/>
  <sheetViews>
    <sheetView showGridLines="0" view="pageBreakPreview" zoomScale="90" zoomScaleNormal="112" zoomScaleSheetLayoutView="90" workbookViewId="0">
      <selection activeCell="M23" sqref="M23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9" width="11.7109375" style="5" bestFit="1" customWidth="1"/>
    <col min="10" max="16384" width="9.28515625" style="5"/>
  </cols>
  <sheetData>
    <row r="1" spans="2:6" ht="15">
      <c r="B1" s="24"/>
    </row>
    <row r="3" spans="2:6" ht="14.25" customHeight="1">
      <c r="B3" s="228" t="s">
        <v>397</v>
      </c>
      <c r="C3" s="228"/>
      <c r="D3" s="228"/>
      <c r="E3" s="228"/>
      <c r="F3" s="228"/>
    </row>
    <row r="4" spans="2:6" ht="14.25" customHeight="1">
      <c r="B4" s="228" t="s">
        <v>400</v>
      </c>
      <c r="C4" s="228"/>
      <c r="D4" s="228"/>
      <c r="E4" s="228"/>
      <c r="F4" s="228"/>
    </row>
    <row r="5" spans="2:6" ht="15">
      <c r="B5" s="228" t="s">
        <v>289</v>
      </c>
      <c r="C5" s="228"/>
      <c r="D5" s="228"/>
      <c r="E5" s="228"/>
      <c r="F5" s="228"/>
    </row>
    <row r="6" spans="2:6">
      <c r="F6" s="218" t="s">
        <v>475</v>
      </c>
    </row>
    <row r="7" spans="2:6" s="13" customFormat="1" ht="15" customHeight="1">
      <c r="B7" s="232" t="s">
        <v>188</v>
      </c>
      <c r="C7" s="235" t="s">
        <v>15</v>
      </c>
      <c r="D7" s="239" t="s">
        <v>398</v>
      </c>
      <c r="E7" s="240"/>
      <c r="F7" s="241"/>
    </row>
    <row r="8" spans="2:6" s="13" customFormat="1" ht="30">
      <c r="B8" s="233"/>
      <c r="C8" s="235"/>
      <c r="D8" s="15" t="s">
        <v>366</v>
      </c>
      <c r="E8" s="15" t="s">
        <v>232</v>
      </c>
      <c r="F8" s="15" t="s">
        <v>203</v>
      </c>
    </row>
    <row r="9" spans="2:6" s="13" customFormat="1" ht="15">
      <c r="B9" s="234"/>
      <c r="C9" s="236"/>
      <c r="D9" s="15" t="s">
        <v>7</v>
      </c>
      <c r="E9" s="15" t="s">
        <v>9</v>
      </c>
      <c r="F9" s="15" t="s">
        <v>225</v>
      </c>
    </row>
    <row r="10" spans="2:6" s="13" customFormat="1">
      <c r="B10" s="60">
        <v>1</v>
      </c>
      <c r="C10" s="179" t="s">
        <v>416</v>
      </c>
      <c r="D10" s="180"/>
      <c r="E10" s="181">
        <v>0.16152635713424135</v>
      </c>
      <c r="F10" s="181">
        <v>0.16152635713424135</v>
      </c>
    </row>
    <row r="11" spans="2:6" s="13" customFormat="1">
      <c r="B11" s="60">
        <f>B10+1</f>
        <v>2</v>
      </c>
      <c r="C11" s="179" t="s">
        <v>417</v>
      </c>
      <c r="D11" s="180"/>
      <c r="E11" s="181">
        <v>8.2266259174999998</v>
      </c>
      <c r="F11" s="181">
        <v>8.2266259174999998</v>
      </c>
    </row>
    <row r="12" spans="2:6" s="13" customFormat="1">
      <c r="B12" s="60">
        <f t="shared" ref="B12:B31" si="0">B11+1</f>
        <v>3</v>
      </c>
      <c r="C12" s="179" t="s">
        <v>418</v>
      </c>
      <c r="D12" s="180"/>
      <c r="E12" s="181">
        <v>0</v>
      </c>
      <c r="F12" s="181">
        <v>0</v>
      </c>
    </row>
    <row r="13" spans="2:6" s="13" customFormat="1">
      <c r="B13" s="60">
        <f t="shared" si="0"/>
        <v>4</v>
      </c>
      <c r="C13" s="179" t="s">
        <v>419</v>
      </c>
      <c r="D13" s="180"/>
      <c r="E13" s="181">
        <v>0.55525230250000002</v>
      </c>
      <c r="F13" s="181">
        <v>0.55525230250000002</v>
      </c>
    </row>
    <row r="14" spans="2:6" s="13" customFormat="1">
      <c r="B14" s="60">
        <f t="shared" si="0"/>
        <v>5</v>
      </c>
      <c r="C14" s="179" t="s">
        <v>420</v>
      </c>
      <c r="D14" s="181"/>
      <c r="E14" s="181">
        <v>0</v>
      </c>
      <c r="F14" s="181">
        <v>0</v>
      </c>
    </row>
    <row r="15" spans="2:6" s="13" customFormat="1">
      <c r="B15" s="60">
        <f t="shared" si="0"/>
        <v>6</v>
      </c>
      <c r="C15" s="179" t="s">
        <v>421</v>
      </c>
      <c r="D15" s="181"/>
      <c r="E15" s="181">
        <v>0</v>
      </c>
      <c r="F15" s="181">
        <v>0</v>
      </c>
    </row>
    <row r="16" spans="2:6" s="13" customFormat="1">
      <c r="B16" s="60">
        <f t="shared" si="0"/>
        <v>7</v>
      </c>
      <c r="C16" s="179" t="s">
        <v>422</v>
      </c>
      <c r="D16" s="181"/>
      <c r="E16" s="181">
        <v>9.2183314485776977E-2</v>
      </c>
      <c r="F16" s="181">
        <v>9.2183314485776977E-2</v>
      </c>
    </row>
    <row r="17" spans="2:6" s="13" customFormat="1">
      <c r="B17" s="60">
        <f t="shared" si="0"/>
        <v>8</v>
      </c>
      <c r="C17" s="179" t="s">
        <v>423</v>
      </c>
      <c r="D17" s="181"/>
      <c r="E17" s="181">
        <v>1.2714231966027574E-4</v>
      </c>
      <c r="F17" s="181">
        <v>1.2714231966027574E-4</v>
      </c>
    </row>
    <row r="18" spans="2:6" s="13" customFormat="1">
      <c r="B18" s="60">
        <f t="shared" si="0"/>
        <v>9</v>
      </c>
      <c r="C18" s="179" t="s">
        <v>424</v>
      </c>
      <c r="D18" s="181"/>
      <c r="E18" s="181">
        <v>0.1227310970911282</v>
      </c>
      <c r="F18" s="181">
        <v>0.1227310970911282</v>
      </c>
    </row>
    <row r="19" spans="2:6" s="13" customFormat="1">
      <c r="B19" s="60">
        <f t="shared" si="0"/>
        <v>10</v>
      </c>
      <c r="C19" s="179" t="s">
        <v>425</v>
      </c>
      <c r="D19" s="181"/>
      <c r="E19" s="181">
        <v>4.0156117970597937E-3</v>
      </c>
      <c r="F19" s="181">
        <v>4.0156117970597937E-3</v>
      </c>
    </row>
    <row r="20" spans="2:6" s="13" customFormat="1">
      <c r="B20" s="60">
        <f t="shared" si="0"/>
        <v>11</v>
      </c>
      <c r="C20" s="179" t="s">
        <v>426</v>
      </c>
      <c r="D20" s="181"/>
      <c r="E20" s="181">
        <v>3.0977108088187672E-2</v>
      </c>
      <c r="F20" s="181">
        <v>3.0977108088187672E-2</v>
      </c>
    </row>
    <row r="21" spans="2:6" s="13" customFormat="1">
      <c r="B21" s="60">
        <f t="shared" si="0"/>
        <v>12</v>
      </c>
      <c r="C21" s="179" t="s">
        <v>427</v>
      </c>
      <c r="D21" s="181"/>
      <c r="E21" s="181">
        <v>1.4477407297853902E-2</v>
      </c>
      <c r="F21" s="181">
        <v>1.4477407297853902E-2</v>
      </c>
    </row>
    <row r="22" spans="2:6">
      <c r="B22" s="60">
        <f t="shared" si="0"/>
        <v>13</v>
      </c>
      <c r="C22" s="179" t="s">
        <v>428</v>
      </c>
      <c r="D22" s="181"/>
      <c r="E22" s="181">
        <v>0.19166269564828547</v>
      </c>
      <c r="F22" s="181">
        <v>0.19166269564828547</v>
      </c>
    </row>
    <row r="23" spans="2:6">
      <c r="B23" s="60">
        <f t="shared" si="0"/>
        <v>14</v>
      </c>
      <c r="C23" s="179" t="s">
        <v>429</v>
      </c>
      <c r="D23" s="181"/>
      <c r="E23" s="181">
        <v>0</v>
      </c>
      <c r="F23" s="181">
        <v>0</v>
      </c>
    </row>
    <row r="24" spans="2:6">
      <c r="B24" s="60">
        <f t="shared" si="0"/>
        <v>15</v>
      </c>
      <c r="C24" s="179" t="s">
        <v>430</v>
      </c>
      <c r="D24" s="181"/>
      <c r="E24" s="181">
        <v>0</v>
      </c>
      <c r="F24" s="181">
        <v>0</v>
      </c>
    </row>
    <row r="25" spans="2:6">
      <c r="B25" s="60">
        <f t="shared" si="0"/>
        <v>16</v>
      </c>
      <c r="C25" s="179" t="s">
        <v>431</v>
      </c>
      <c r="D25" s="181"/>
      <c r="E25" s="181">
        <v>5.0154227249337734E-2</v>
      </c>
      <c r="F25" s="181">
        <v>5.0154227249337734E-2</v>
      </c>
    </row>
    <row r="26" spans="2:6" ht="15.75" customHeight="1">
      <c r="B26" s="60">
        <f t="shared" si="0"/>
        <v>17</v>
      </c>
      <c r="C26" s="179" t="s">
        <v>432</v>
      </c>
      <c r="D26" s="182">
        <f>SUM(D10:D21)</f>
        <v>0</v>
      </c>
      <c r="E26" s="181">
        <v>0.23629180122850127</v>
      </c>
      <c r="F26" s="181">
        <v>0.23629180122850127</v>
      </c>
    </row>
    <row r="27" spans="2:6" s="32" customFormat="1" ht="15">
      <c r="B27" s="60">
        <f t="shared" si="0"/>
        <v>18</v>
      </c>
      <c r="C27" s="179" t="s">
        <v>433</v>
      </c>
      <c r="D27" s="182"/>
      <c r="E27" s="181">
        <v>1.5331821164477602E-2</v>
      </c>
      <c r="F27" s="181">
        <v>1.5331821164477602E-2</v>
      </c>
    </row>
    <row r="28" spans="2:6" s="32" customFormat="1" ht="15">
      <c r="B28" s="60">
        <f t="shared" si="0"/>
        <v>19</v>
      </c>
      <c r="C28" s="179" t="s">
        <v>434</v>
      </c>
      <c r="D28" s="182"/>
      <c r="E28" s="181">
        <v>7.2189875841523702E-3</v>
      </c>
      <c r="F28" s="181">
        <v>7.2189875841523702E-3</v>
      </c>
    </row>
    <row r="29" spans="2:6" s="32" customFormat="1" ht="12.75" customHeight="1">
      <c r="B29" s="60">
        <f t="shared" si="0"/>
        <v>20</v>
      </c>
      <c r="C29" s="179" t="s">
        <v>435</v>
      </c>
      <c r="D29" s="182"/>
      <c r="E29" s="181">
        <v>1.0493287597567407E-2</v>
      </c>
      <c r="F29" s="181">
        <v>1.0493287597567407E-2</v>
      </c>
    </row>
    <row r="30" spans="2:6" s="32" customFormat="1" ht="15">
      <c r="B30" s="60">
        <f t="shared" si="0"/>
        <v>21</v>
      </c>
      <c r="C30" s="179" t="s">
        <v>436</v>
      </c>
      <c r="D30" s="182"/>
      <c r="E30" s="181">
        <v>3.8077976519060143E-3</v>
      </c>
      <c r="F30" s="181">
        <v>3.8077976519060143E-3</v>
      </c>
    </row>
    <row r="31" spans="2:6" s="32" customFormat="1" ht="15">
      <c r="B31" s="60">
        <f t="shared" si="0"/>
        <v>22</v>
      </c>
      <c r="C31" s="179" t="s">
        <v>437</v>
      </c>
      <c r="D31" s="182"/>
      <c r="E31" s="181">
        <v>0.62587619999999999</v>
      </c>
      <c r="F31" s="181">
        <v>0.62587619999999999</v>
      </c>
    </row>
    <row r="32" spans="2:6">
      <c r="B32" s="20"/>
      <c r="C32" s="69"/>
      <c r="D32" s="70"/>
      <c r="E32" s="28"/>
      <c r="F32" s="28"/>
    </row>
    <row r="33" spans="2:6" ht="15">
      <c r="B33" s="20"/>
      <c r="C33" s="30" t="s">
        <v>136</v>
      </c>
      <c r="D33" s="132">
        <f t="shared" ref="D33:F33" si="1">ROUND(SUM(D10:D32),2)</f>
        <v>0</v>
      </c>
      <c r="E33" s="132">
        <f t="shared" si="1"/>
        <v>10.35</v>
      </c>
      <c r="F33" s="132">
        <f t="shared" si="1"/>
        <v>10.35</v>
      </c>
    </row>
  </sheetData>
  <mergeCells count="6">
    <mergeCell ref="B7:B9"/>
    <mergeCell ref="C7:C9"/>
    <mergeCell ref="D7:F7"/>
    <mergeCell ref="B3:F3"/>
    <mergeCell ref="B4:F4"/>
    <mergeCell ref="B5:F5"/>
  </mergeCells>
  <printOptions horizontalCentered="1" verticalCentered="1"/>
  <pageMargins left="0.70866141732283505" right="0.70866141732283505" top="0" bottom="0.74803149606299202" header="0.31496062992126" footer="0.31496062992126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31"/>
  <sheetViews>
    <sheetView showGridLines="0" view="pageBreakPreview" zoomScaleNormal="93" zoomScaleSheetLayoutView="100" workbookViewId="0">
      <selection activeCell="M23" sqref="M23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9.140625" style="5" customWidth="1"/>
    <col min="4" max="4" width="22.5703125" style="5" customWidth="1"/>
    <col min="5" max="16384" width="9.28515625" style="5"/>
  </cols>
  <sheetData>
    <row r="2" spans="2:4" ht="15">
      <c r="B2" s="228" t="s">
        <v>397</v>
      </c>
      <c r="C2" s="228"/>
      <c r="D2" s="228"/>
    </row>
    <row r="3" spans="2:4" ht="15">
      <c r="B3" s="228" t="s">
        <v>400</v>
      </c>
      <c r="C3" s="228"/>
      <c r="D3" s="228"/>
    </row>
    <row r="4" spans="2:4" ht="14.25" customHeight="1">
      <c r="B4" s="228" t="s">
        <v>291</v>
      </c>
      <c r="C4" s="228"/>
      <c r="D4" s="228"/>
    </row>
    <row r="5" spans="2:4" ht="15">
      <c r="B5" s="24"/>
      <c r="C5" s="73"/>
      <c r="D5" s="74"/>
    </row>
    <row r="6" spans="2:4" ht="15" customHeight="1">
      <c r="B6" s="243" t="s">
        <v>2</v>
      </c>
      <c r="C6" s="248" t="s">
        <v>15</v>
      </c>
      <c r="D6" s="68" t="s">
        <v>398</v>
      </c>
    </row>
    <row r="7" spans="2:4" ht="15">
      <c r="B7" s="243"/>
      <c r="C7" s="248"/>
      <c r="D7" s="15" t="s">
        <v>290</v>
      </c>
    </row>
    <row r="8" spans="2:4" ht="24.75" customHeight="1">
      <c r="B8" s="275"/>
      <c r="C8" s="276"/>
      <c r="D8" s="15" t="s">
        <v>3</v>
      </c>
    </row>
    <row r="9" spans="2:4" ht="15">
      <c r="B9" s="75">
        <v>1</v>
      </c>
      <c r="C9" s="76" t="s">
        <v>160</v>
      </c>
      <c r="D9" s="72"/>
    </row>
    <row r="10" spans="2:4" s="32" customFormat="1" ht="15">
      <c r="B10" s="77" t="s">
        <v>54</v>
      </c>
      <c r="C10" s="39" t="s">
        <v>55</v>
      </c>
      <c r="D10" s="78"/>
    </row>
    <row r="11" spans="2:4" s="32" customFormat="1" ht="15">
      <c r="B11" s="79"/>
      <c r="C11" s="28" t="s">
        <v>56</v>
      </c>
      <c r="D11" s="78"/>
    </row>
    <row r="12" spans="2:4" s="32" customFormat="1" ht="15">
      <c r="B12" s="79"/>
      <c r="C12" s="28" t="s">
        <v>57</v>
      </c>
      <c r="D12" s="78"/>
    </row>
    <row r="13" spans="2:4" s="32" customFormat="1" ht="28.5">
      <c r="B13" s="79"/>
      <c r="C13" s="28" t="s">
        <v>58</v>
      </c>
      <c r="D13" s="212" t="s">
        <v>474</v>
      </c>
    </row>
    <row r="14" spans="2:4" s="32" customFormat="1" ht="15">
      <c r="B14" s="79"/>
      <c r="C14" s="80"/>
      <c r="D14" s="78"/>
    </row>
    <row r="15" spans="2:4" s="32" customFormat="1" ht="15">
      <c r="B15" s="77" t="s">
        <v>59</v>
      </c>
      <c r="C15" s="81" t="s">
        <v>60</v>
      </c>
      <c r="D15" s="78"/>
    </row>
    <row r="16" spans="2:4" s="32" customFormat="1" ht="15">
      <c r="B16" s="79"/>
      <c r="C16" s="28" t="s">
        <v>56</v>
      </c>
      <c r="D16" s="78"/>
    </row>
    <row r="17" spans="2:4">
      <c r="B17" s="79"/>
      <c r="C17" s="28" t="s">
        <v>57</v>
      </c>
      <c r="D17" s="78"/>
    </row>
    <row r="18" spans="2:4">
      <c r="B18" s="82"/>
      <c r="C18" s="28" t="s">
        <v>61</v>
      </c>
      <c r="D18" s="78"/>
    </row>
    <row r="19" spans="2:4" ht="15">
      <c r="B19" s="82"/>
      <c r="C19" s="81"/>
      <c r="D19" s="78"/>
    </row>
    <row r="20" spans="2:4" ht="17.25" customHeight="1">
      <c r="B20" s="77">
        <v>2</v>
      </c>
      <c r="C20" s="76" t="s">
        <v>161</v>
      </c>
      <c r="D20" s="78"/>
    </row>
    <row r="21" spans="2:4" ht="17.25" customHeight="1">
      <c r="B21" s="77"/>
      <c r="C21" s="76" t="s">
        <v>62</v>
      </c>
      <c r="D21" s="78"/>
    </row>
    <row r="22" spans="2:4" ht="17.25" customHeight="1">
      <c r="B22" s="77"/>
      <c r="C22" s="76" t="s">
        <v>62</v>
      </c>
      <c r="D22" s="78"/>
    </row>
    <row r="23" spans="2:4" ht="15">
      <c r="B23" s="79"/>
      <c r="C23" s="81" t="s">
        <v>63</v>
      </c>
      <c r="D23" s="78"/>
    </row>
    <row r="25" spans="2:4" ht="15">
      <c r="B25" s="83" t="s">
        <v>51</v>
      </c>
      <c r="C25" s="84"/>
      <c r="D25" s="84"/>
    </row>
    <row r="26" spans="2:4" ht="27.75" customHeight="1">
      <c r="B26" s="274" t="s">
        <v>205</v>
      </c>
      <c r="C26" s="274"/>
      <c r="D26" s="274"/>
    </row>
    <row r="27" spans="2:4" ht="18" customHeight="1">
      <c r="B27" s="84"/>
    </row>
    <row r="28" spans="2:4">
      <c r="B28" s="84"/>
      <c r="C28" s="84"/>
      <c r="D28" s="84"/>
    </row>
    <row r="29" spans="2:4">
      <c r="B29" s="84"/>
      <c r="C29" s="84"/>
      <c r="D29" s="84"/>
    </row>
    <row r="30" spans="2:4">
      <c r="B30" s="84"/>
      <c r="C30" s="84"/>
      <c r="D30" s="84"/>
    </row>
    <row r="31" spans="2:4">
      <c r="B31" s="84"/>
      <c r="C31" s="84"/>
      <c r="D31" s="84"/>
    </row>
  </sheetData>
  <mergeCells count="6">
    <mergeCell ref="B2:D2"/>
    <mergeCell ref="B26:D26"/>
    <mergeCell ref="B6:B8"/>
    <mergeCell ref="C6:C8"/>
    <mergeCell ref="B4:D4"/>
    <mergeCell ref="B3:D3"/>
  </mergeCells>
  <pageMargins left="1.7086614170000001" right="0.45866141700000002" top="0.5" bottom="0.74803149606299202" header="0.31496062992126" footer="0.31496062992126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8"/>
  <sheetViews>
    <sheetView showGridLines="0" view="pageBreakPreview" zoomScale="66" zoomScaleNormal="91" zoomScaleSheetLayoutView="66" workbookViewId="0">
      <selection activeCell="P40" sqref="P40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4" customWidth="1"/>
    <col min="5" max="5" width="14" style="34" customWidth="1"/>
    <col min="6" max="6" width="12.140625" style="5" customWidth="1"/>
    <col min="7" max="7" width="15" style="5" customWidth="1"/>
    <col min="8" max="8" width="15.7109375" style="5" customWidth="1"/>
    <col min="9" max="16384" width="9.28515625" style="5"/>
  </cols>
  <sheetData>
    <row r="2" spans="2:8" ht="14.25" customHeight="1">
      <c r="B2" s="228" t="s">
        <v>397</v>
      </c>
      <c r="C2" s="228"/>
      <c r="D2" s="228"/>
      <c r="E2" s="228"/>
      <c r="F2" s="228"/>
      <c r="G2" s="228"/>
      <c r="H2" s="228"/>
    </row>
    <row r="3" spans="2:8" ht="14.25" customHeight="1">
      <c r="B3" s="228" t="s">
        <v>400</v>
      </c>
      <c r="C3" s="228"/>
      <c r="D3" s="228"/>
      <c r="E3" s="228"/>
      <c r="F3" s="228"/>
      <c r="G3" s="228"/>
      <c r="H3" s="228"/>
    </row>
    <row r="4" spans="2:8" s="13" customFormat="1" ht="14.25" customHeight="1">
      <c r="B4" s="228" t="s">
        <v>292</v>
      </c>
      <c r="C4" s="228"/>
      <c r="D4" s="228"/>
      <c r="E4" s="228"/>
      <c r="F4" s="228"/>
      <c r="G4" s="228"/>
      <c r="H4" s="228"/>
    </row>
    <row r="5" spans="2:8" s="13" customFormat="1" ht="15">
      <c r="C5" s="73"/>
      <c r="D5" s="34"/>
      <c r="E5" s="34"/>
      <c r="F5" s="85"/>
      <c r="G5" s="85"/>
    </row>
    <row r="6" spans="2:8" ht="15">
      <c r="B6" s="237" t="s">
        <v>188</v>
      </c>
      <c r="C6" s="277" t="s">
        <v>15</v>
      </c>
      <c r="D6" s="277" t="s">
        <v>36</v>
      </c>
      <c r="E6" s="239" t="s">
        <v>398</v>
      </c>
      <c r="F6" s="240"/>
      <c r="G6" s="241"/>
      <c r="H6" s="237" t="s">
        <v>8</v>
      </c>
    </row>
    <row r="7" spans="2:8" ht="30">
      <c r="B7" s="277"/>
      <c r="C7" s="277"/>
      <c r="D7" s="277"/>
      <c r="E7" s="15" t="s">
        <v>366</v>
      </c>
      <c r="F7" s="15" t="s">
        <v>232</v>
      </c>
      <c r="G7" s="15" t="s">
        <v>203</v>
      </c>
      <c r="H7" s="237"/>
    </row>
    <row r="8" spans="2:8" ht="15">
      <c r="B8" s="277"/>
      <c r="C8" s="277"/>
      <c r="D8" s="277"/>
      <c r="E8" s="15" t="s">
        <v>7</v>
      </c>
      <c r="F8" s="15" t="s">
        <v>9</v>
      </c>
      <c r="G8" s="15" t="s">
        <v>225</v>
      </c>
      <c r="H8" s="238"/>
    </row>
    <row r="9" spans="2:8" ht="15">
      <c r="B9" s="15"/>
      <c r="C9" s="86"/>
      <c r="D9" s="87"/>
      <c r="E9" s="87"/>
      <c r="F9" s="26"/>
      <c r="G9" s="26"/>
      <c r="H9" s="26"/>
    </row>
    <row r="10" spans="2:8">
      <c r="B10" s="88">
        <v>1</v>
      </c>
      <c r="C10" s="89" t="s">
        <v>207</v>
      </c>
      <c r="D10" s="88" t="s">
        <v>37</v>
      </c>
      <c r="E10" s="88" t="s">
        <v>471</v>
      </c>
      <c r="F10" s="200">
        <v>500</v>
      </c>
      <c r="G10" s="200"/>
      <c r="H10" s="26"/>
    </row>
    <row r="11" spans="2:8">
      <c r="B11" s="88"/>
      <c r="C11" s="89" t="s">
        <v>340</v>
      </c>
      <c r="D11" s="88"/>
      <c r="E11" s="88" t="s">
        <v>473</v>
      </c>
      <c r="F11" s="200"/>
      <c r="G11" s="200"/>
      <c r="H11" s="26"/>
    </row>
    <row r="12" spans="2:8" ht="13.5" customHeight="1">
      <c r="B12" s="88"/>
      <c r="C12" s="89" t="s">
        <v>216</v>
      </c>
      <c r="D12" s="88"/>
      <c r="E12" s="88" t="s">
        <v>472</v>
      </c>
      <c r="F12" s="200"/>
      <c r="G12" s="200"/>
      <c r="H12" s="26"/>
    </row>
    <row r="13" spans="2:8">
      <c r="B13" s="88"/>
      <c r="C13" s="89"/>
      <c r="D13" s="88"/>
      <c r="E13" s="88"/>
      <c r="F13" s="200"/>
      <c r="G13" s="200"/>
      <c r="H13" s="26"/>
    </row>
    <row r="14" spans="2:8" ht="15">
      <c r="B14" s="15">
        <v>2</v>
      </c>
      <c r="C14" s="86" t="s">
        <v>168</v>
      </c>
      <c r="D14" s="88"/>
      <c r="E14" s="88"/>
      <c r="F14" s="200"/>
      <c r="G14" s="200"/>
      <c r="H14" s="26"/>
    </row>
    <row r="15" spans="2:8">
      <c r="B15" s="88">
        <f>B14+0.1</f>
        <v>2.1</v>
      </c>
      <c r="C15" s="89" t="s">
        <v>38</v>
      </c>
      <c r="D15" s="88" t="s">
        <v>39</v>
      </c>
      <c r="E15" s="88">
        <v>80</v>
      </c>
      <c r="F15" s="200">
        <v>80</v>
      </c>
      <c r="G15" s="200">
        <v>80</v>
      </c>
      <c r="H15" s="26"/>
    </row>
    <row r="16" spans="2:8">
      <c r="B16" s="88">
        <f>B15+0.1</f>
        <v>2.2000000000000002</v>
      </c>
      <c r="C16" s="89" t="s">
        <v>152</v>
      </c>
      <c r="D16" s="88" t="s">
        <v>39</v>
      </c>
      <c r="E16" s="88"/>
      <c r="F16" s="88">
        <v>83.69</v>
      </c>
      <c r="G16" s="200">
        <f>F16</f>
        <v>83.69</v>
      </c>
      <c r="H16" s="26"/>
    </row>
    <row r="17" spans="2:8">
      <c r="B17" s="88"/>
      <c r="C17" s="89"/>
      <c r="D17" s="88"/>
      <c r="E17" s="88"/>
      <c r="F17" s="88"/>
      <c r="G17" s="200"/>
      <c r="H17" s="26"/>
    </row>
    <row r="18" spans="2:8" ht="15">
      <c r="B18" s="15">
        <v>3</v>
      </c>
      <c r="C18" s="86" t="s">
        <v>169</v>
      </c>
      <c r="D18" s="88"/>
      <c r="E18" s="88"/>
      <c r="F18" s="88"/>
      <c r="G18" s="200"/>
      <c r="H18" s="26"/>
    </row>
    <row r="19" spans="2:8">
      <c r="B19" s="88">
        <f>B18+0.1</f>
        <v>3.1</v>
      </c>
      <c r="C19" s="89" t="s">
        <v>40</v>
      </c>
      <c r="D19" s="88" t="s">
        <v>39</v>
      </c>
      <c r="E19" s="88">
        <v>80</v>
      </c>
      <c r="F19" s="88">
        <v>80</v>
      </c>
      <c r="G19" s="200">
        <f>F19</f>
        <v>80</v>
      </c>
      <c r="H19" s="26"/>
    </row>
    <row r="20" spans="2:8">
      <c r="B20" s="88">
        <f>B19+0.1</f>
        <v>3.2</v>
      </c>
      <c r="C20" s="89" t="s">
        <v>153</v>
      </c>
      <c r="D20" s="88" t="s">
        <v>39</v>
      </c>
      <c r="E20" s="88"/>
      <c r="F20" s="88">
        <v>79.42</v>
      </c>
      <c r="G20" s="200">
        <f t="shared" ref="G20" si="0">F20</f>
        <v>79.42</v>
      </c>
      <c r="H20" s="26"/>
    </row>
    <row r="21" spans="2:8">
      <c r="B21" s="88"/>
      <c r="C21" s="89"/>
      <c r="D21" s="88"/>
      <c r="E21" s="88"/>
      <c r="F21" s="88"/>
      <c r="G21" s="200"/>
      <c r="H21" s="26"/>
    </row>
    <row r="22" spans="2:8" ht="15">
      <c r="B22" s="15">
        <v>4</v>
      </c>
      <c r="C22" s="86" t="s">
        <v>53</v>
      </c>
      <c r="D22" s="88"/>
      <c r="E22" s="88"/>
      <c r="G22" s="88"/>
      <c r="H22" s="26"/>
    </row>
    <row r="23" spans="2:8">
      <c r="B23" s="88">
        <f>B22+0.1</f>
        <v>4.0999999999999996</v>
      </c>
      <c r="C23" s="89" t="s">
        <v>41</v>
      </c>
      <c r="D23" s="88" t="s">
        <v>42</v>
      </c>
      <c r="E23" s="88"/>
      <c r="F23" s="88">
        <v>3101.4795999999997</v>
      </c>
      <c r="G23" s="205">
        <f>F23</f>
        <v>3101.4795999999997</v>
      </c>
      <c r="H23" s="26"/>
    </row>
    <row r="24" spans="2:8">
      <c r="B24" s="88">
        <f>B23+0.1</f>
        <v>4.1999999999999993</v>
      </c>
      <c r="C24" s="90" t="s">
        <v>154</v>
      </c>
      <c r="D24" s="88" t="s">
        <v>42</v>
      </c>
      <c r="F24" s="205">
        <v>3488.0459999999998</v>
      </c>
      <c r="G24" s="205">
        <f>F24</f>
        <v>3488.0459999999998</v>
      </c>
      <c r="H24" s="26"/>
    </row>
    <row r="25" spans="2:8">
      <c r="B25" s="88"/>
      <c r="C25" s="90"/>
      <c r="D25" s="88"/>
      <c r="E25" s="88"/>
      <c r="F25" s="88"/>
      <c r="G25" s="205"/>
      <c r="H25" s="26"/>
    </row>
    <row r="26" spans="2:8" ht="15">
      <c r="B26" s="15">
        <v>5</v>
      </c>
      <c r="C26" s="91" t="s">
        <v>166</v>
      </c>
      <c r="D26" s="88"/>
      <c r="E26" s="88"/>
      <c r="F26" s="88"/>
      <c r="G26" s="88"/>
      <c r="H26" s="26"/>
    </row>
    <row r="27" spans="2:8">
      <c r="B27" s="88">
        <f>B26+0.1</f>
        <v>5.0999999999999996</v>
      </c>
      <c r="C27" s="90" t="s">
        <v>43</v>
      </c>
      <c r="D27" s="88" t="s">
        <v>39</v>
      </c>
      <c r="E27" s="88">
        <v>9</v>
      </c>
      <c r="F27" s="88">
        <v>9</v>
      </c>
      <c r="G27" s="88">
        <v>9</v>
      </c>
      <c r="H27" s="26"/>
    </row>
    <row r="28" spans="2:8" ht="16.5" customHeight="1">
      <c r="B28" s="88">
        <f>B27+0.1</f>
        <v>5.1999999999999993</v>
      </c>
      <c r="C28" s="90" t="s">
        <v>155</v>
      </c>
      <c r="D28" s="88" t="s">
        <v>39</v>
      </c>
      <c r="E28" s="88"/>
      <c r="F28" s="88">
        <v>11.083</v>
      </c>
      <c r="G28" s="88">
        <f>F28</f>
        <v>11.083</v>
      </c>
      <c r="H28" s="26"/>
    </row>
    <row r="29" spans="2:8" ht="16.5" customHeight="1">
      <c r="B29" s="88">
        <f>B28+0.1</f>
        <v>5.2999999999999989</v>
      </c>
      <c r="C29" s="90" t="s">
        <v>155</v>
      </c>
      <c r="D29" s="88" t="s">
        <v>42</v>
      </c>
      <c r="E29" s="88"/>
      <c r="F29" s="88">
        <v>386.57</v>
      </c>
      <c r="G29" s="88">
        <f>F29</f>
        <v>386.57</v>
      </c>
      <c r="H29" s="26"/>
    </row>
    <row r="30" spans="2:8">
      <c r="B30" s="88">
        <f>B29+0.1</f>
        <v>5.3999999999999986</v>
      </c>
      <c r="C30" s="90" t="s">
        <v>44</v>
      </c>
      <c r="D30" s="88" t="s">
        <v>42</v>
      </c>
      <c r="E30" s="205"/>
      <c r="F30" s="205">
        <v>3101.4796000000001</v>
      </c>
      <c r="G30" s="205">
        <f>F30</f>
        <v>3101.4796000000001</v>
      </c>
      <c r="H30" s="26"/>
    </row>
    <row r="31" spans="2:8">
      <c r="B31" s="88"/>
      <c r="C31" s="90"/>
      <c r="D31" s="88"/>
      <c r="E31" s="88"/>
      <c r="F31" s="88"/>
      <c r="G31" s="88"/>
      <c r="H31" s="26"/>
    </row>
    <row r="32" spans="2:8" ht="15">
      <c r="B32" s="15">
        <v>6</v>
      </c>
      <c r="C32" s="91" t="s">
        <v>202</v>
      </c>
      <c r="D32" s="88"/>
      <c r="E32" s="88"/>
      <c r="F32" s="88"/>
      <c r="G32" s="88"/>
      <c r="H32" s="26"/>
    </row>
    <row r="33" spans="2:8">
      <c r="B33" s="88">
        <f>B32+0.1</f>
        <v>6.1</v>
      </c>
      <c r="C33" s="90" t="s">
        <v>45</v>
      </c>
      <c r="D33" s="88" t="s">
        <v>46</v>
      </c>
      <c r="E33" s="88">
        <v>2500</v>
      </c>
      <c r="F33" s="88">
        <v>2500</v>
      </c>
      <c r="G33" s="88">
        <f>F33</f>
        <v>2500</v>
      </c>
      <c r="H33" s="26"/>
    </row>
    <row r="34" spans="2:8">
      <c r="B34" s="88">
        <f>B33+0.1</f>
        <v>6.1999999999999993</v>
      </c>
      <c r="C34" s="89" t="s">
        <v>156</v>
      </c>
      <c r="D34" s="88" t="s">
        <v>46</v>
      </c>
      <c r="E34" s="88"/>
      <c r="F34" s="209">
        <v>2346.13</v>
      </c>
      <c r="G34" s="209">
        <f>F34</f>
        <v>2346.13</v>
      </c>
      <c r="H34" s="26"/>
    </row>
    <row r="35" spans="2:8">
      <c r="B35" s="88"/>
      <c r="C35" s="89"/>
      <c r="D35" s="88"/>
      <c r="E35" s="88"/>
      <c r="F35" s="88"/>
      <c r="G35" s="88"/>
      <c r="H35" s="26"/>
    </row>
    <row r="36" spans="2:8" ht="15">
      <c r="B36" s="15">
        <v>7</v>
      </c>
      <c r="C36" s="86" t="s">
        <v>170</v>
      </c>
      <c r="D36" s="88"/>
      <c r="E36" s="88"/>
      <c r="F36" s="88"/>
      <c r="G36" s="88"/>
      <c r="H36" s="26"/>
    </row>
    <row r="37" spans="2:8">
      <c r="B37" s="88">
        <f>B36+0.1</f>
        <v>7.1</v>
      </c>
      <c r="C37" s="89" t="s">
        <v>47</v>
      </c>
      <c r="D37" s="88" t="s">
        <v>48</v>
      </c>
      <c r="E37" s="88">
        <v>2</v>
      </c>
      <c r="F37" s="88">
        <v>2</v>
      </c>
      <c r="G37" s="88">
        <f>F37</f>
        <v>2</v>
      </c>
      <c r="H37" s="26"/>
    </row>
    <row r="38" spans="2:8">
      <c r="B38" s="88">
        <f>B37+0.1</f>
        <v>7.1999999999999993</v>
      </c>
      <c r="C38" s="89" t="s">
        <v>157</v>
      </c>
      <c r="D38" s="88" t="s">
        <v>48</v>
      </c>
      <c r="E38" s="88"/>
      <c r="F38" s="219">
        <v>0.39400000000000002</v>
      </c>
      <c r="G38" s="219">
        <f>F38</f>
        <v>0.39400000000000002</v>
      </c>
      <c r="H38" s="26"/>
    </row>
    <row r="39" spans="2:8">
      <c r="B39" s="88"/>
      <c r="C39" s="89"/>
      <c r="D39" s="88"/>
      <c r="E39" s="88"/>
      <c r="F39" s="88"/>
      <c r="G39" s="88"/>
      <c r="H39" s="26"/>
    </row>
    <row r="40" spans="2:8" ht="15">
      <c r="B40" s="15">
        <v>8</v>
      </c>
      <c r="C40" s="86" t="s">
        <v>50</v>
      </c>
      <c r="D40" s="88"/>
      <c r="E40" s="88"/>
      <c r="F40" s="88"/>
      <c r="G40" s="88"/>
      <c r="H40" s="26"/>
    </row>
    <row r="41" spans="2:8">
      <c r="B41" s="88">
        <f>B40+0.1</f>
        <v>8.1</v>
      </c>
      <c r="C41" s="89" t="s">
        <v>49</v>
      </c>
      <c r="D41" s="88" t="s">
        <v>39</v>
      </c>
      <c r="E41" s="88">
        <v>0.8</v>
      </c>
      <c r="F41" s="88">
        <v>0.8</v>
      </c>
      <c r="G41" s="88">
        <f>F41</f>
        <v>0.8</v>
      </c>
      <c r="H41" s="26"/>
    </row>
    <row r="42" spans="2:8">
      <c r="B42" s="88">
        <f>B41+0.1</f>
        <v>8.1999999999999993</v>
      </c>
      <c r="C42" s="89" t="s">
        <v>158</v>
      </c>
      <c r="D42" s="88" t="s">
        <v>39</v>
      </c>
      <c r="E42" s="88"/>
      <c r="F42" s="88">
        <v>0.8</v>
      </c>
      <c r="G42" s="88">
        <v>0.8</v>
      </c>
      <c r="H42" s="26"/>
    </row>
    <row r="43" spans="2:8" ht="15">
      <c r="B43" s="15"/>
      <c r="C43" s="86"/>
      <c r="D43" s="87"/>
      <c r="E43" s="87"/>
      <c r="F43" s="15"/>
      <c r="G43" s="15"/>
      <c r="H43" s="26"/>
    </row>
    <row r="44" spans="2:8" ht="15">
      <c r="B44" s="38"/>
      <c r="C44" s="92"/>
      <c r="D44" s="93"/>
      <c r="E44" s="93"/>
      <c r="F44" s="38"/>
      <c r="G44" s="38"/>
    </row>
    <row r="45" spans="2:8" ht="16.5">
      <c r="D45" s="94"/>
      <c r="E45" s="94"/>
      <c r="F45" s="95"/>
      <c r="G45" s="95"/>
    </row>
    <row r="46" spans="2:8" ht="16.5">
      <c r="B46" s="13"/>
      <c r="F46" s="95"/>
      <c r="G46" s="95"/>
    </row>
    <row r="47" spans="2:8" ht="16.5">
      <c r="C47" s="47"/>
      <c r="F47" s="95"/>
      <c r="G47" s="95"/>
    </row>
    <row r="48" spans="2:8">
      <c r="F48" s="96"/>
      <c r="G48" s="96"/>
    </row>
  </sheetData>
  <mergeCells count="8">
    <mergeCell ref="B4:H4"/>
    <mergeCell ref="B3:H3"/>
    <mergeCell ref="B2:H2"/>
    <mergeCell ref="B6:B8"/>
    <mergeCell ref="C6:C8"/>
    <mergeCell ref="D6:D8"/>
    <mergeCell ref="H6:H8"/>
    <mergeCell ref="E6:G6"/>
  </mergeCells>
  <printOptions horizontalCentered="1" verticalCentered="1"/>
  <pageMargins left="0.70866141732283505" right="0.70866141732283505" top="0" bottom="0.74803149606299202" header="0.31496062992126" footer="0.31496062992126"/>
  <pageSetup paperSize="9" scale="8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showWhiteSpace="0" view="pageBreakPreview" zoomScale="60" zoomScaleNormal="91" zoomScalePageLayoutView="48" workbookViewId="0">
      <selection activeCell="Q6" sqref="Q6:V6"/>
    </sheetView>
  </sheetViews>
  <sheetFormatPr defaultColWidth="9.28515625" defaultRowHeight="14.25"/>
  <cols>
    <col min="1" max="1" width="2.28515625" style="97" customWidth="1"/>
    <col min="2" max="2" width="9.28515625" style="97"/>
    <col min="3" max="3" width="57.5703125" style="97" customWidth="1"/>
    <col min="4" max="4" width="8.42578125" style="98" customWidth="1"/>
    <col min="5" max="5" width="11.85546875" style="97" bestFit="1" customWidth="1"/>
    <col min="6" max="6" width="9.5703125" style="97" bestFit="1" customWidth="1"/>
    <col min="7" max="9" width="10.7109375" style="97" bestFit="1" customWidth="1"/>
    <col min="10" max="12" width="9.5703125" style="97" bestFit="1" customWidth="1"/>
    <col min="13" max="14" width="10.7109375" style="97" bestFit="1" customWidth="1"/>
    <col min="15" max="15" width="9.5703125" style="97" bestFit="1" customWidth="1"/>
    <col min="16" max="16" width="10.7109375" style="97" bestFit="1" customWidth="1"/>
    <col min="17" max="17" width="9.5703125" style="97" bestFit="1" customWidth="1"/>
    <col min="18" max="19" width="10.7109375" style="97" bestFit="1" customWidth="1"/>
    <col min="20" max="22" width="9.5703125" style="97" bestFit="1" customWidth="1"/>
    <col min="23" max="16384" width="9.28515625" style="97"/>
  </cols>
  <sheetData>
    <row r="2" spans="2:22" ht="14.25" customHeight="1">
      <c r="B2" s="228" t="s">
        <v>397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</row>
    <row r="3" spans="2:22" ht="14.25" customHeight="1">
      <c r="B3" s="228" t="s">
        <v>400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</row>
    <row r="4" spans="2:22" ht="14.25" customHeight="1">
      <c r="B4" s="228" t="s">
        <v>341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</row>
    <row r="6" spans="2:22" ht="15">
      <c r="B6" s="278" t="s">
        <v>188</v>
      </c>
      <c r="C6" s="278" t="s">
        <v>15</v>
      </c>
      <c r="D6" s="278" t="s">
        <v>36</v>
      </c>
      <c r="E6" s="278" t="s">
        <v>479</v>
      </c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 t="s">
        <v>480</v>
      </c>
      <c r="R6" s="278"/>
      <c r="S6" s="278"/>
      <c r="T6" s="278"/>
      <c r="U6" s="278"/>
      <c r="V6" s="278"/>
    </row>
    <row r="7" spans="2:22" ht="15">
      <c r="B7" s="278"/>
      <c r="C7" s="278"/>
      <c r="D7" s="278"/>
      <c r="E7" s="100" t="s">
        <v>138</v>
      </c>
      <c r="F7" s="100" t="s">
        <v>139</v>
      </c>
      <c r="G7" s="100" t="s">
        <v>140</v>
      </c>
      <c r="H7" s="100" t="s">
        <v>141</v>
      </c>
      <c r="I7" s="100" t="s">
        <v>142</v>
      </c>
      <c r="J7" s="100" t="s">
        <v>143</v>
      </c>
      <c r="K7" s="100" t="s">
        <v>144</v>
      </c>
      <c r="L7" s="100" t="s">
        <v>145</v>
      </c>
      <c r="M7" s="100" t="s">
        <v>146</v>
      </c>
      <c r="N7" s="100" t="s">
        <v>147</v>
      </c>
      <c r="O7" s="100" t="s">
        <v>148</v>
      </c>
      <c r="P7" s="100" t="s">
        <v>149</v>
      </c>
      <c r="Q7" s="100" t="s">
        <v>138</v>
      </c>
      <c r="R7" s="100" t="s">
        <v>139</v>
      </c>
      <c r="S7" s="100" t="s">
        <v>140</v>
      </c>
      <c r="T7" s="100" t="s">
        <v>141</v>
      </c>
      <c r="U7" s="100" t="s">
        <v>142</v>
      </c>
      <c r="V7" s="100" t="s">
        <v>143</v>
      </c>
    </row>
    <row r="8" spans="2:22" ht="15">
      <c r="B8" s="100" t="s">
        <v>64</v>
      </c>
      <c r="C8" s="102" t="s">
        <v>297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</row>
    <row r="9" spans="2:22">
      <c r="B9" s="101">
        <v>1</v>
      </c>
      <c r="C9" s="27" t="s">
        <v>298</v>
      </c>
      <c r="D9" s="101" t="s">
        <v>300</v>
      </c>
      <c r="E9" s="183">
        <v>180647.93282840701</v>
      </c>
      <c r="F9" s="183">
        <v>92053.092828406603</v>
      </c>
      <c r="G9" s="183">
        <v>35736.562828406575</v>
      </c>
      <c r="H9" s="183">
        <v>66000.002828406636</v>
      </c>
      <c r="I9" s="183">
        <v>188673.49282840663</v>
      </c>
      <c r="J9" s="183">
        <v>235546.37282840663</v>
      </c>
      <c r="K9" s="183">
        <v>137501.18282840669</v>
      </c>
      <c r="L9" s="183">
        <v>68638.652828406659</v>
      </c>
      <c r="M9" s="183">
        <v>35955.412828406668</v>
      </c>
      <c r="N9" s="183">
        <v>81072.002828406708</v>
      </c>
      <c r="O9" s="183">
        <v>100192.19282840664</v>
      </c>
      <c r="P9" s="183">
        <v>104139.48282840662</v>
      </c>
      <c r="Q9" s="183">
        <v>126748.35282840669</v>
      </c>
      <c r="R9" s="183">
        <v>103464.00282840664</v>
      </c>
      <c r="S9" s="183">
        <v>122175.06282840658</v>
      </c>
      <c r="T9" s="183">
        <v>263943.26282840659</v>
      </c>
      <c r="U9" s="183">
        <v>177671.61282840656</v>
      </c>
      <c r="V9" s="183">
        <v>139003.70282840659</v>
      </c>
    </row>
    <row r="10" spans="2:22">
      <c r="B10" s="101">
        <f>B9+1</f>
        <v>2</v>
      </c>
      <c r="C10" s="27" t="s">
        <v>299</v>
      </c>
      <c r="D10" s="101" t="s">
        <v>301</v>
      </c>
      <c r="E10" s="184">
        <v>69.238736531615501</v>
      </c>
      <c r="F10" s="184">
        <v>35.848865544075224</v>
      </c>
      <c r="G10" s="184">
        <v>14.503359136689102</v>
      </c>
      <c r="H10" s="184">
        <v>28.81628981505013</v>
      </c>
      <c r="I10" s="184">
        <v>78.338766127360444</v>
      </c>
      <c r="J10" s="184">
        <v>95.838754052858633</v>
      </c>
      <c r="K10" s="184">
        <v>54.91312376788472</v>
      </c>
      <c r="L10" s="184">
        <v>29.832037437266081</v>
      </c>
      <c r="M10" s="184">
        <v>16.386122169346699</v>
      </c>
      <c r="N10" s="184">
        <v>36.216266538402451</v>
      </c>
      <c r="O10" s="184">
        <v>45.249963459325414</v>
      </c>
      <c r="P10" s="184">
        <v>47.288457451095759</v>
      </c>
      <c r="Q10" s="184">
        <v>57.978424720950187</v>
      </c>
      <c r="R10" s="184">
        <v>49.416931962343725</v>
      </c>
      <c r="S10" s="184">
        <v>57.304229612901651</v>
      </c>
      <c r="T10" s="184">
        <v>118.92877592198215</v>
      </c>
      <c r="U10" s="184">
        <v>79.61279490751609</v>
      </c>
      <c r="V10" s="184">
        <v>61.194438249853121</v>
      </c>
    </row>
    <row r="11" spans="2:22" ht="15">
      <c r="B11" s="100" t="s">
        <v>68</v>
      </c>
      <c r="C11" s="102" t="s">
        <v>302</v>
      </c>
      <c r="D11" s="101"/>
      <c r="E11" s="183"/>
      <c r="F11" s="183"/>
      <c r="G11" s="183"/>
      <c r="H11" s="183"/>
      <c r="I11" s="183"/>
      <c r="J11" s="183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</row>
    <row r="12" spans="2:22">
      <c r="B12" s="101">
        <f>B10+1</f>
        <v>3</v>
      </c>
      <c r="C12" s="27" t="s">
        <v>303</v>
      </c>
      <c r="D12" s="101" t="s">
        <v>300</v>
      </c>
      <c r="E12" s="183">
        <v>154639.85999999999</v>
      </c>
      <c r="F12" s="183">
        <v>158675.10000000003</v>
      </c>
      <c r="G12" s="183">
        <v>273611.21999999997</v>
      </c>
      <c r="H12" s="183">
        <v>363051.73</v>
      </c>
      <c r="I12" s="183">
        <v>299842.18000000005</v>
      </c>
      <c r="J12" s="183">
        <v>146729.4</v>
      </c>
      <c r="K12" s="183">
        <v>163453</v>
      </c>
      <c r="L12" s="183">
        <v>191302.36</v>
      </c>
      <c r="M12" s="183">
        <v>282874.33999999997</v>
      </c>
      <c r="N12" s="183">
        <v>262709.15999999997</v>
      </c>
      <c r="O12" s="183">
        <v>216628.96</v>
      </c>
      <c r="P12" s="183">
        <v>248789.50000000003</v>
      </c>
      <c r="Q12" s="183">
        <v>184765.38</v>
      </c>
      <c r="R12" s="183">
        <v>240582.90000000002</v>
      </c>
      <c r="S12" s="183">
        <v>306162.43</v>
      </c>
      <c r="T12" s="183">
        <v>42087.98</v>
      </c>
      <c r="U12" s="183">
        <v>103965.38</v>
      </c>
      <c r="V12" s="183">
        <v>219799.07999999996</v>
      </c>
    </row>
    <row r="13" spans="2:22">
      <c r="B13" s="101">
        <f>B12+1</f>
        <v>4</v>
      </c>
      <c r="C13" s="27" t="s">
        <v>391</v>
      </c>
      <c r="D13" s="101" t="s">
        <v>300</v>
      </c>
      <c r="E13" s="183"/>
      <c r="F13" s="183"/>
      <c r="G13" s="183"/>
      <c r="H13" s="183"/>
      <c r="I13" s="183"/>
      <c r="J13" s="183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</row>
    <row r="14" spans="2:22" ht="15">
      <c r="B14" s="101">
        <f>B13+1</f>
        <v>5</v>
      </c>
      <c r="C14" s="27" t="s">
        <v>304</v>
      </c>
      <c r="D14" s="101" t="s">
        <v>300</v>
      </c>
      <c r="E14" s="126">
        <f>E12+E13</f>
        <v>154639.85999999999</v>
      </c>
      <c r="F14" s="126">
        <f t="shared" ref="F14:V14" si="0">F12+F13</f>
        <v>158675.10000000003</v>
      </c>
      <c r="G14" s="126">
        <f t="shared" si="0"/>
        <v>273611.21999999997</v>
      </c>
      <c r="H14" s="126">
        <f t="shared" si="0"/>
        <v>363051.73</v>
      </c>
      <c r="I14" s="126">
        <f t="shared" si="0"/>
        <v>299842.18000000005</v>
      </c>
      <c r="J14" s="126">
        <f t="shared" si="0"/>
        <v>146729.4</v>
      </c>
      <c r="K14" s="126">
        <f t="shared" si="0"/>
        <v>163453</v>
      </c>
      <c r="L14" s="126">
        <f t="shared" si="0"/>
        <v>191302.36</v>
      </c>
      <c r="M14" s="126">
        <f t="shared" si="0"/>
        <v>282874.33999999997</v>
      </c>
      <c r="N14" s="126">
        <f t="shared" si="0"/>
        <v>262709.15999999997</v>
      </c>
      <c r="O14" s="126">
        <f t="shared" si="0"/>
        <v>216628.96</v>
      </c>
      <c r="P14" s="126">
        <f t="shared" si="0"/>
        <v>248789.50000000003</v>
      </c>
      <c r="Q14" s="126">
        <f t="shared" si="0"/>
        <v>184765.38</v>
      </c>
      <c r="R14" s="126">
        <f t="shared" si="0"/>
        <v>240582.90000000002</v>
      </c>
      <c r="S14" s="126">
        <f t="shared" si="0"/>
        <v>306162.43</v>
      </c>
      <c r="T14" s="126">
        <f t="shared" si="0"/>
        <v>42087.98</v>
      </c>
      <c r="U14" s="126">
        <f t="shared" si="0"/>
        <v>103965.38</v>
      </c>
      <c r="V14" s="126">
        <f t="shared" si="0"/>
        <v>219799.07999999996</v>
      </c>
    </row>
    <row r="15" spans="2:22">
      <c r="B15" s="101">
        <f>B14+1</f>
        <v>6</v>
      </c>
      <c r="C15" s="27" t="s">
        <v>305</v>
      </c>
      <c r="D15" s="101" t="s">
        <v>300</v>
      </c>
      <c r="E15" s="183">
        <v>1237.1188799999945</v>
      </c>
      <c r="F15" s="183">
        <v>1269.4008000000031</v>
      </c>
      <c r="G15" s="183">
        <v>2188.8897599999909</v>
      </c>
      <c r="H15" s="183">
        <v>2904.4138399999938</v>
      </c>
      <c r="I15" s="183">
        <v>2398.7374399999972</v>
      </c>
      <c r="J15" s="183">
        <v>1173.8352000000014</v>
      </c>
      <c r="K15" s="183">
        <v>1307.6240000000107</v>
      </c>
      <c r="L15" s="183">
        <v>1530.418880000012</v>
      </c>
      <c r="M15" s="183">
        <v>2262.994720000017</v>
      </c>
      <c r="N15" s="183">
        <v>2101.6732799999882</v>
      </c>
      <c r="O15" s="183">
        <v>1733.0316800000146</v>
      </c>
      <c r="P15" s="183">
        <v>1990.3159999999916</v>
      </c>
      <c r="Q15" s="183">
        <v>1478.1230400000059</v>
      </c>
      <c r="R15" s="183">
        <v>1924.66320000001</v>
      </c>
      <c r="S15" s="183">
        <v>2449.2994399999734</v>
      </c>
      <c r="T15" s="183">
        <v>336.70384000000195</v>
      </c>
      <c r="U15" s="183">
        <v>831.72303999999713</v>
      </c>
      <c r="V15" s="183">
        <v>1758.3926400000055</v>
      </c>
    </row>
    <row r="16" spans="2:22" ht="15">
      <c r="B16" s="101">
        <f>B15+1</f>
        <v>7</v>
      </c>
      <c r="C16" s="27" t="s">
        <v>306</v>
      </c>
      <c r="D16" s="101" t="s">
        <v>300</v>
      </c>
      <c r="E16" s="126">
        <f>E14-E15</f>
        <v>153402.74111999999</v>
      </c>
      <c r="F16" s="126">
        <f t="shared" ref="F16:V16" si="1">F14-F15</f>
        <v>157405.69920000003</v>
      </c>
      <c r="G16" s="126">
        <f t="shared" si="1"/>
        <v>271422.33023999998</v>
      </c>
      <c r="H16" s="126">
        <f t="shared" si="1"/>
        <v>360147.31615999999</v>
      </c>
      <c r="I16" s="126">
        <f t="shared" si="1"/>
        <v>297443.44256000005</v>
      </c>
      <c r="J16" s="126">
        <f t="shared" si="1"/>
        <v>145555.56479999999</v>
      </c>
      <c r="K16" s="126">
        <f t="shared" si="1"/>
        <v>162145.37599999999</v>
      </c>
      <c r="L16" s="126">
        <f t="shared" si="1"/>
        <v>189771.94111999997</v>
      </c>
      <c r="M16" s="126">
        <f t="shared" si="1"/>
        <v>280611.34527999995</v>
      </c>
      <c r="N16" s="126">
        <f t="shared" si="1"/>
        <v>260607.48671999999</v>
      </c>
      <c r="O16" s="126">
        <f t="shared" si="1"/>
        <v>214895.92831999998</v>
      </c>
      <c r="P16" s="126">
        <f t="shared" si="1"/>
        <v>246799.18400000004</v>
      </c>
      <c r="Q16" s="126">
        <f t="shared" si="1"/>
        <v>183287.25696</v>
      </c>
      <c r="R16" s="126">
        <f t="shared" si="1"/>
        <v>238658.23680000001</v>
      </c>
      <c r="S16" s="126">
        <f t="shared" si="1"/>
        <v>303713.13056000002</v>
      </c>
      <c r="T16" s="126">
        <f t="shared" si="1"/>
        <v>41751.276160000001</v>
      </c>
      <c r="U16" s="126">
        <f t="shared" si="1"/>
        <v>103133.65696000001</v>
      </c>
      <c r="V16" s="126">
        <f t="shared" si="1"/>
        <v>218040.68735999995</v>
      </c>
    </row>
    <row r="17" spans="2:22" ht="15">
      <c r="B17" s="100" t="s">
        <v>69</v>
      </c>
      <c r="C17" s="102" t="s">
        <v>307</v>
      </c>
      <c r="D17" s="101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2:22">
      <c r="B18" s="101">
        <f>B16+1</f>
        <v>8</v>
      </c>
      <c r="C18" s="27" t="s">
        <v>308</v>
      </c>
      <c r="D18" s="101" t="s">
        <v>301</v>
      </c>
      <c r="E18" s="184">
        <v>57.043418341000006</v>
      </c>
      <c r="F18" s="184">
        <v>60.22166975999999</v>
      </c>
      <c r="G18" s="184">
        <v>110.07897936300002</v>
      </c>
      <c r="H18" s="184">
        <v>140.09174098299999</v>
      </c>
      <c r="I18" s="184">
        <v>115.39996215100003</v>
      </c>
      <c r="J18" s="184">
        <v>56.418784664000007</v>
      </c>
      <c r="K18" s="184">
        <v>71.334724566000006</v>
      </c>
      <c r="L18" s="184">
        <v>85.371337975000003</v>
      </c>
      <c r="M18" s="184">
        <v>116.55449618100002</v>
      </c>
      <c r="N18" s="184">
        <v>109.69781614099999</v>
      </c>
      <c r="O18" s="184">
        <v>87.673159989999988</v>
      </c>
      <c r="P18" s="184">
        <v>107.66468638800001</v>
      </c>
      <c r="Q18" s="184">
        <v>80.666515985000004</v>
      </c>
      <c r="R18" s="184">
        <v>99.060040604000008</v>
      </c>
      <c r="S18" s="184">
        <v>122.684873921</v>
      </c>
      <c r="T18" s="184">
        <v>17.005087709000001</v>
      </c>
      <c r="U18" s="184">
        <v>43.268556381000003</v>
      </c>
      <c r="V18" s="184">
        <v>93.736059585999996</v>
      </c>
    </row>
    <row r="19" spans="2:22">
      <c r="B19" s="101">
        <f>B18+1</f>
        <v>9</v>
      </c>
      <c r="C19" s="27" t="s">
        <v>309</v>
      </c>
      <c r="D19" s="101" t="s">
        <v>301</v>
      </c>
      <c r="E19" s="184">
        <v>0.16501140630240002</v>
      </c>
      <c r="F19" s="184">
        <v>1.4206518980055998</v>
      </c>
      <c r="G19" s="184">
        <v>2.4496285896599992</v>
      </c>
      <c r="H19" s="184">
        <v>-0.44144732535440029</v>
      </c>
      <c r="I19" s="184">
        <v>-4.3207176335199993</v>
      </c>
      <c r="J19" s="184">
        <v>-3.7355300649288008</v>
      </c>
      <c r="K19" s="184">
        <v>-2.4972862689952002</v>
      </c>
      <c r="L19" s="184">
        <v>-4.9307126063160016</v>
      </c>
      <c r="M19" s="184">
        <v>1.9163325274480003</v>
      </c>
      <c r="N19" s="184">
        <v>2.0467835443824001</v>
      </c>
      <c r="O19" s="184">
        <v>5.0884798682007997</v>
      </c>
      <c r="P19" s="184">
        <v>-0.85030213596160042</v>
      </c>
      <c r="Q19" s="184">
        <v>5.1075229984232005</v>
      </c>
      <c r="R19" s="184">
        <v>5.8794389824464002</v>
      </c>
      <c r="S19" s="184">
        <v>4.8142283111580007</v>
      </c>
      <c r="T19" s="184">
        <v>-7.5759886132000021E-2</v>
      </c>
      <c r="U19" s="184">
        <v>-1.8816407788152001</v>
      </c>
      <c r="V19" s="184">
        <v>-6.3423712709815998</v>
      </c>
    </row>
    <row r="20" spans="2:22">
      <c r="B20" s="101">
        <f>B19+1</f>
        <v>10</v>
      </c>
      <c r="C20" s="27" t="s">
        <v>310</v>
      </c>
      <c r="D20" s="101" t="s">
        <v>301</v>
      </c>
      <c r="E20" s="184">
        <v>0.137313237</v>
      </c>
      <c r="F20" s="184">
        <v>0.15066583</v>
      </c>
      <c r="G20" s="184">
        <v>0.15380317200000002</v>
      </c>
      <c r="H20" s="184">
        <v>0.23921063600000003</v>
      </c>
      <c r="I20" s="184">
        <v>0.41607640099999998</v>
      </c>
      <c r="J20" s="184">
        <v>0.34889712299999998</v>
      </c>
      <c r="K20" s="184">
        <v>0.29665079100000002</v>
      </c>
      <c r="L20" s="184">
        <v>0.16927344599999999</v>
      </c>
      <c r="M20" s="184">
        <v>0.14333606799999998</v>
      </c>
      <c r="N20" s="184">
        <v>0.39413836399999996</v>
      </c>
      <c r="O20" s="184">
        <v>0.14741834700000001</v>
      </c>
      <c r="P20" s="184">
        <v>0.52891304526000005</v>
      </c>
      <c r="Q20" s="184">
        <v>0.13743810200000001</v>
      </c>
      <c r="R20" s="184">
        <v>0.16910498899999998</v>
      </c>
      <c r="S20" s="184">
        <v>0.15159514499999999</v>
      </c>
      <c r="T20" s="184">
        <v>0.16586894899999999</v>
      </c>
      <c r="U20" s="184">
        <v>0.26294908300000003</v>
      </c>
      <c r="V20" s="184">
        <v>0.16476353699999999</v>
      </c>
    </row>
    <row r="21" spans="2:22" ht="15">
      <c r="B21" s="101">
        <f>B20+1</f>
        <v>11</v>
      </c>
      <c r="C21" s="27" t="s">
        <v>311</v>
      </c>
      <c r="D21" s="101" t="s">
        <v>301</v>
      </c>
      <c r="E21" s="127">
        <f>E18+E19+E20</f>
        <v>57.345742984302404</v>
      </c>
      <c r="F21" s="127">
        <f t="shared" ref="F21:V21" si="2">F18+F19+F20</f>
        <v>61.792987488005593</v>
      </c>
      <c r="G21" s="127">
        <f t="shared" si="2"/>
        <v>112.68241112466001</v>
      </c>
      <c r="H21" s="127">
        <f t="shared" si="2"/>
        <v>139.88950429364559</v>
      </c>
      <c r="I21" s="127">
        <f t="shared" si="2"/>
        <v>111.49532091848002</v>
      </c>
      <c r="J21" s="127">
        <f t="shared" si="2"/>
        <v>53.032151722071205</v>
      </c>
      <c r="K21" s="127">
        <f t="shared" si="2"/>
        <v>69.134089088004814</v>
      </c>
      <c r="L21" s="127">
        <f t="shared" si="2"/>
        <v>80.609898814684001</v>
      </c>
      <c r="M21" s="127">
        <f t="shared" si="2"/>
        <v>118.61416477644802</v>
      </c>
      <c r="N21" s="127">
        <f t="shared" si="2"/>
        <v>112.13873804938238</v>
      </c>
      <c r="O21" s="127">
        <f t="shared" si="2"/>
        <v>92.909058205200793</v>
      </c>
      <c r="P21" s="127">
        <f t="shared" si="2"/>
        <v>107.34329729729841</v>
      </c>
      <c r="Q21" s="127">
        <f t="shared" si="2"/>
        <v>85.911477085423215</v>
      </c>
      <c r="R21" s="127">
        <f t="shared" si="2"/>
        <v>105.10858457544641</v>
      </c>
      <c r="S21" s="127">
        <f t="shared" si="2"/>
        <v>127.65069737715801</v>
      </c>
      <c r="T21" s="127">
        <f t="shared" si="2"/>
        <v>17.095196771868</v>
      </c>
      <c r="U21" s="127">
        <f t="shared" si="2"/>
        <v>41.649864685184802</v>
      </c>
      <c r="V21" s="127">
        <f t="shared" si="2"/>
        <v>87.558451852018393</v>
      </c>
    </row>
    <row r="22" spans="2:22" ht="15">
      <c r="B22" s="100" t="s">
        <v>312</v>
      </c>
      <c r="C22" s="102" t="s">
        <v>313</v>
      </c>
      <c r="D22" s="101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2:22">
      <c r="B23" s="101">
        <f>B21+1</f>
        <v>12</v>
      </c>
      <c r="C23" s="27" t="s">
        <v>314</v>
      </c>
      <c r="D23" s="101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2:22">
      <c r="B24" s="101"/>
      <c r="C24" s="27" t="s">
        <v>315</v>
      </c>
      <c r="D24" s="101" t="s">
        <v>301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2:22">
      <c r="B25" s="101"/>
      <c r="C25" s="27" t="s">
        <v>316</v>
      </c>
      <c r="D25" s="101" t="s">
        <v>301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>
      <c r="B26" s="101"/>
      <c r="C26" s="27" t="s">
        <v>317</v>
      </c>
      <c r="D26" s="101" t="s">
        <v>301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  <row r="27" spans="2:22">
      <c r="B27" s="101"/>
      <c r="C27" s="27" t="s">
        <v>6</v>
      </c>
      <c r="D27" s="101" t="s">
        <v>301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</row>
    <row r="28" spans="2:22">
      <c r="B28" s="101">
        <f>B23+1</f>
        <v>13</v>
      </c>
      <c r="C28" s="27" t="s">
        <v>318</v>
      </c>
      <c r="D28" s="101" t="s">
        <v>301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</row>
    <row r="29" spans="2:22">
      <c r="B29" s="101">
        <f>B28+1</f>
        <v>14</v>
      </c>
      <c r="C29" s="27" t="s">
        <v>319</v>
      </c>
      <c r="D29" s="101" t="s">
        <v>301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2:22" ht="28.5">
      <c r="B30" s="101">
        <f>B29+1</f>
        <v>15</v>
      </c>
      <c r="C30" s="103" t="s">
        <v>388</v>
      </c>
      <c r="D30" s="101" t="s">
        <v>301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2:22">
      <c r="B31" s="101">
        <f>B30+1</f>
        <v>16</v>
      </c>
      <c r="C31" s="103" t="s">
        <v>320</v>
      </c>
      <c r="D31" s="101" t="s">
        <v>301</v>
      </c>
      <c r="E31" s="184">
        <v>3.5071592040000006</v>
      </c>
      <c r="F31" s="184">
        <v>3.5987298400000007</v>
      </c>
      <c r="G31" s="184">
        <v>6.9230070510000008</v>
      </c>
      <c r="H31" s="184">
        <v>8.2340327720000008</v>
      </c>
      <c r="I31" s="184">
        <v>7.956440790300003</v>
      </c>
      <c r="J31" s="184">
        <v>3.3277694560000008</v>
      </c>
      <c r="K31" s="184">
        <v>6.1865110382000008</v>
      </c>
      <c r="L31" s="184">
        <v>7.324687163000001</v>
      </c>
      <c r="M31" s="184">
        <v>6.4155617920000001</v>
      </c>
      <c r="N31" s="184">
        <v>5.9582605520000014</v>
      </c>
      <c r="O31" s="184">
        <v>4.9186161880000014</v>
      </c>
      <c r="P31" s="184">
        <v>5.8979138614000011</v>
      </c>
      <c r="Q31" s="184">
        <v>4.1906693680000009</v>
      </c>
      <c r="R31" s="184">
        <v>5.9413653404000017</v>
      </c>
      <c r="S31" s="184">
        <v>6.9437446280000001</v>
      </c>
      <c r="T31" s="184">
        <v>0.95455893200000008</v>
      </c>
      <c r="U31" s="184">
        <v>2.3579375040000001</v>
      </c>
      <c r="V31" s="184">
        <v>5.2237950202000007</v>
      </c>
    </row>
    <row r="32" spans="2:22" ht="28.5">
      <c r="B32" s="101">
        <f>B31+1</f>
        <v>17</v>
      </c>
      <c r="C32" s="103" t="s">
        <v>321</v>
      </c>
      <c r="D32" s="101" t="s">
        <v>301</v>
      </c>
      <c r="E32" s="127">
        <f>E21+E31</f>
        <v>60.852902188302409</v>
      </c>
      <c r="F32" s="127">
        <f t="shared" ref="F32:V32" si="3">F21+F31</f>
        <v>65.391717328005598</v>
      </c>
      <c r="G32" s="127">
        <f t="shared" si="3"/>
        <v>119.60541817566001</v>
      </c>
      <c r="H32" s="127">
        <f t="shared" si="3"/>
        <v>148.12353706564559</v>
      </c>
      <c r="I32" s="127">
        <f t="shared" si="3"/>
        <v>119.45176170878003</v>
      </c>
      <c r="J32" s="127">
        <f t="shared" si="3"/>
        <v>56.359921178071204</v>
      </c>
      <c r="K32" s="127">
        <f t="shared" si="3"/>
        <v>75.320600126204809</v>
      </c>
      <c r="L32" s="127">
        <f t="shared" si="3"/>
        <v>87.934585977684009</v>
      </c>
      <c r="M32" s="127">
        <f t="shared" si="3"/>
        <v>125.02972656844803</v>
      </c>
      <c r="N32" s="127">
        <f t="shared" si="3"/>
        <v>118.09699860138238</v>
      </c>
      <c r="O32" s="127">
        <f t="shared" si="3"/>
        <v>97.827674393200795</v>
      </c>
      <c r="P32" s="127">
        <f t="shared" si="3"/>
        <v>113.24121115869841</v>
      </c>
      <c r="Q32" s="127">
        <f t="shared" si="3"/>
        <v>90.102146453423217</v>
      </c>
      <c r="R32" s="127">
        <f t="shared" si="3"/>
        <v>111.04994991584641</v>
      </c>
      <c r="S32" s="127">
        <f t="shared" si="3"/>
        <v>134.59444200515802</v>
      </c>
      <c r="T32" s="127">
        <f t="shared" si="3"/>
        <v>18.049755703868001</v>
      </c>
      <c r="U32" s="127">
        <f t="shared" si="3"/>
        <v>44.007802189184801</v>
      </c>
      <c r="V32" s="127">
        <f t="shared" si="3"/>
        <v>92.782246872218394</v>
      </c>
    </row>
    <row r="33" spans="2:22" ht="15">
      <c r="B33" s="100" t="s">
        <v>322</v>
      </c>
      <c r="C33" s="102" t="s">
        <v>184</v>
      </c>
      <c r="D33" s="101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2:22" ht="15">
      <c r="B34" s="101">
        <f>B32+1</f>
        <v>18</v>
      </c>
      <c r="C34" s="103" t="s">
        <v>323</v>
      </c>
      <c r="D34" s="101" t="s">
        <v>324</v>
      </c>
      <c r="E34" s="127">
        <f>IFERROR((E10+E32)/(E9+E16)*10000000,0)</f>
        <v>3894.3683957365738</v>
      </c>
      <c r="F34" s="127">
        <f t="shared" ref="F34:V34" si="4">IFERROR((F10+F32)/(F9+F16)*10000000,0)</f>
        <v>4058.4090882855012</v>
      </c>
      <c r="G34" s="127">
        <f t="shared" si="4"/>
        <v>4366.104330323983</v>
      </c>
      <c r="H34" s="127">
        <f t="shared" si="4"/>
        <v>4152.0811934407457</v>
      </c>
      <c r="I34" s="127">
        <f t="shared" si="4"/>
        <v>4068.7849658664154</v>
      </c>
      <c r="J34" s="127">
        <f t="shared" si="4"/>
        <v>3993.6473736675443</v>
      </c>
      <c r="K34" s="127">
        <f t="shared" si="4"/>
        <v>4346.2446024173496</v>
      </c>
      <c r="L34" s="127">
        <f>IFERROR((L10+L32)/(L9+L16)*10000000,0)</f>
        <v>4557.3450227223648</v>
      </c>
      <c r="M34" s="127">
        <f t="shared" si="4"/>
        <v>4467.173040618738</v>
      </c>
      <c r="N34" s="127">
        <f t="shared" si="4"/>
        <v>4516.3163098767991</v>
      </c>
      <c r="O34" s="127">
        <f>IFERROR((O10+O32)/(O9+O16)*10000000,0)</f>
        <v>4540.8769245584026</v>
      </c>
      <c r="P34" s="127">
        <f t="shared" si="4"/>
        <v>4574.2941369377804</v>
      </c>
      <c r="Q34" s="127">
        <f>IFERROR((Q10+Q32)/(Q9+Q16)*10000000,0)</f>
        <v>4776.2439700212353</v>
      </c>
      <c r="R34" s="127">
        <f t="shared" si="4"/>
        <v>4690.3376422555857</v>
      </c>
      <c r="S34" s="127">
        <f>IFERROR((S10+S32)/(S9+S16)*10000000,0)</f>
        <v>4505.8462431488351</v>
      </c>
      <c r="T34" s="127">
        <f t="shared" si="4"/>
        <v>4480.8956051074583</v>
      </c>
      <c r="U34" s="127">
        <f>IFERROR((U10+U32)/(U9+U16)*10000000,0)</f>
        <v>4402.360297221343</v>
      </c>
      <c r="V34" s="127">
        <f t="shared" si="4"/>
        <v>4312.5361818686042</v>
      </c>
    </row>
    <row r="35" spans="2:22">
      <c r="B35" s="101">
        <f>B34+1</f>
        <v>19</v>
      </c>
      <c r="C35" s="103" t="s">
        <v>325</v>
      </c>
      <c r="D35" s="101" t="s">
        <v>39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2:22">
      <c r="B36" s="101">
        <f>B35+1</f>
        <v>20</v>
      </c>
      <c r="C36" s="103" t="s">
        <v>326</v>
      </c>
      <c r="D36" s="101" t="s">
        <v>324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</row>
    <row r="37" spans="2:22" ht="15">
      <c r="B37" s="100" t="s">
        <v>327</v>
      </c>
      <c r="C37" s="102" t="s">
        <v>328</v>
      </c>
      <c r="D37" s="101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8" spans="2:22" ht="28.5">
      <c r="B38" s="101">
        <f>B36+1</f>
        <v>21</v>
      </c>
      <c r="C38" s="103" t="s">
        <v>387</v>
      </c>
      <c r="D38" s="101" t="s">
        <v>329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2:22" ht="28.5">
      <c r="B39" s="101">
        <f>B38+1</f>
        <v>22</v>
      </c>
      <c r="C39" s="103" t="s">
        <v>330</v>
      </c>
      <c r="D39" s="101" t="s">
        <v>329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</row>
    <row r="40" spans="2:22" ht="28.5">
      <c r="B40" s="101">
        <f t="shared" ref="B40:B47" si="5">B39+1</f>
        <v>23</v>
      </c>
      <c r="C40" s="103" t="s">
        <v>386</v>
      </c>
      <c r="D40" s="101" t="s">
        <v>329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</row>
    <row r="41" spans="2:22">
      <c r="B41" s="101">
        <f t="shared" si="5"/>
        <v>24</v>
      </c>
      <c r="C41" s="103" t="s">
        <v>331</v>
      </c>
      <c r="D41" s="101" t="s">
        <v>329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</row>
    <row r="42" spans="2:22">
      <c r="B42" s="101">
        <f t="shared" si="5"/>
        <v>25</v>
      </c>
      <c r="C42" s="103" t="s">
        <v>332</v>
      </c>
      <c r="D42" s="101" t="s">
        <v>329</v>
      </c>
      <c r="E42" s="196">
        <v>3120</v>
      </c>
      <c r="F42" s="196">
        <v>3217</v>
      </c>
      <c r="G42" s="196">
        <v>3178</v>
      </c>
      <c r="H42" s="197">
        <v>2950</v>
      </c>
      <c r="I42" s="197">
        <v>3064</v>
      </c>
      <c r="J42" s="197">
        <v>3099</v>
      </c>
      <c r="K42" s="196">
        <v>3198</v>
      </c>
      <c r="L42" s="196">
        <v>3580</v>
      </c>
      <c r="M42" s="196">
        <v>3338</v>
      </c>
      <c r="N42" s="196">
        <v>3282</v>
      </c>
      <c r="O42" s="196">
        <v>3490</v>
      </c>
      <c r="P42" s="196">
        <v>3441</v>
      </c>
      <c r="Q42" s="198">
        <v>3551</v>
      </c>
      <c r="R42" s="198">
        <v>3333</v>
      </c>
      <c r="S42" s="198">
        <v>3078</v>
      </c>
      <c r="T42" s="198">
        <v>2530</v>
      </c>
      <c r="U42" s="198">
        <v>2969</v>
      </c>
      <c r="V42" s="198">
        <v>2924</v>
      </c>
    </row>
    <row r="43" spans="2:22" ht="28.5">
      <c r="B43" s="101">
        <f t="shared" si="5"/>
        <v>26</v>
      </c>
      <c r="C43" s="103" t="s">
        <v>385</v>
      </c>
      <c r="D43" s="101" t="s">
        <v>329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</row>
    <row r="44" spans="2:22">
      <c r="B44" s="101">
        <f t="shared" si="5"/>
        <v>27</v>
      </c>
      <c r="C44" s="103" t="s">
        <v>333</v>
      </c>
      <c r="D44" s="101" t="s">
        <v>329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</row>
    <row r="45" spans="2:22" ht="28.5">
      <c r="B45" s="101">
        <f t="shared" si="5"/>
        <v>28</v>
      </c>
      <c r="C45" s="103" t="s">
        <v>334</v>
      </c>
      <c r="D45" s="101" t="s">
        <v>329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</row>
    <row r="46" spans="2:22" ht="28.5">
      <c r="B46" s="101">
        <f t="shared" si="5"/>
        <v>29</v>
      </c>
      <c r="C46" s="103" t="s">
        <v>334</v>
      </c>
      <c r="D46" s="101" t="s">
        <v>329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</row>
    <row r="47" spans="2:22">
      <c r="B47" s="101">
        <f t="shared" si="5"/>
        <v>30</v>
      </c>
      <c r="C47" s="103" t="s">
        <v>335</v>
      </c>
      <c r="D47" s="101" t="s">
        <v>329</v>
      </c>
      <c r="E47" s="197">
        <v>2769</v>
      </c>
      <c r="F47" s="197">
        <v>3014</v>
      </c>
      <c r="G47" s="197">
        <v>2916</v>
      </c>
      <c r="H47" s="197">
        <v>2798</v>
      </c>
      <c r="I47" s="197">
        <v>2604</v>
      </c>
      <c r="J47" s="197">
        <v>2820</v>
      </c>
      <c r="K47" s="197">
        <v>3000</v>
      </c>
      <c r="L47" s="197">
        <v>3074</v>
      </c>
      <c r="M47" s="197">
        <v>2942</v>
      </c>
      <c r="N47" s="197">
        <v>2957</v>
      </c>
      <c r="O47" s="197">
        <v>3033</v>
      </c>
      <c r="P47" s="197">
        <v>3030</v>
      </c>
      <c r="Q47" s="199">
        <v>3209</v>
      </c>
      <c r="R47" s="199">
        <v>2978</v>
      </c>
      <c r="S47" s="199">
        <v>2803</v>
      </c>
      <c r="T47" s="199">
        <v>2577</v>
      </c>
      <c r="U47" s="199">
        <v>2642</v>
      </c>
      <c r="V47" s="199">
        <v>2561</v>
      </c>
    </row>
    <row r="49" spans="2:3" ht="15">
      <c r="B49" s="99" t="s">
        <v>234</v>
      </c>
    </row>
    <row r="50" spans="2:3">
      <c r="B50" s="98">
        <v>1</v>
      </c>
      <c r="C50" s="97" t="s">
        <v>336</v>
      </c>
    </row>
    <row r="51" spans="2:3">
      <c r="B51" s="98">
        <f>B50+1</f>
        <v>2</v>
      </c>
      <c r="C51" s="97" t="s">
        <v>337</v>
      </c>
    </row>
    <row r="52" spans="2:3">
      <c r="B52" s="98">
        <f>B51+1</f>
        <v>3</v>
      </c>
      <c r="C52" s="97" t="s">
        <v>338</v>
      </c>
    </row>
    <row r="53" spans="2:3">
      <c r="B53" s="98">
        <f>B52+1</f>
        <v>4</v>
      </c>
      <c r="C53" s="97" t="s">
        <v>339</v>
      </c>
    </row>
  </sheetData>
  <mergeCells count="8">
    <mergeCell ref="B3:V3"/>
    <mergeCell ref="B4:V4"/>
    <mergeCell ref="B2:V2"/>
    <mergeCell ref="E6:P6"/>
    <mergeCell ref="Q6:V6"/>
    <mergeCell ref="B6:B7"/>
    <mergeCell ref="C6:C7"/>
    <mergeCell ref="D6:D7"/>
  </mergeCells>
  <phoneticPr fontId="12" type="noConversion"/>
  <pageMargins left="0.20866141699999999" right="0.20866141699999999" top="0.25" bottom="0.49803149600000002" header="0.31496062992126" footer="0.31496062992126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52"/>
  <sheetViews>
    <sheetView view="pageBreakPreview" zoomScale="60" workbookViewId="0">
      <selection activeCell="M23" sqref="M23"/>
    </sheetView>
  </sheetViews>
  <sheetFormatPr defaultRowHeight="12.75"/>
  <cols>
    <col min="1" max="1" width="8.85546875" customWidth="1"/>
    <col min="2" max="2" width="65.28515625" customWidth="1"/>
  </cols>
  <sheetData>
    <row r="2" spans="1:21" ht="16.5">
      <c r="A2" s="280" t="s">
        <v>438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</row>
    <row r="3" spans="1:21" ht="16.5">
      <c r="A3" s="280" t="s">
        <v>439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</row>
    <row r="4" spans="1:21" ht="16.5">
      <c r="A4" s="279" t="s">
        <v>341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</row>
    <row r="6" spans="1:21" ht="15">
      <c r="A6" s="278" t="s">
        <v>188</v>
      </c>
      <c r="B6" s="278" t="s">
        <v>15</v>
      </c>
      <c r="C6" s="278" t="s">
        <v>36</v>
      </c>
      <c r="D6" s="278" t="s">
        <v>398</v>
      </c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 t="s">
        <v>399</v>
      </c>
      <c r="Q6" s="278"/>
      <c r="R6" s="278"/>
      <c r="S6" s="278"/>
      <c r="T6" s="278"/>
      <c r="U6" s="278"/>
    </row>
    <row r="7" spans="1:21" ht="15">
      <c r="A7" s="278"/>
      <c r="B7" s="278"/>
      <c r="C7" s="278"/>
      <c r="D7" s="100" t="s">
        <v>138</v>
      </c>
      <c r="E7" s="100" t="s">
        <v>139</v>
      </c>
      <c r="F7" s="100" t="s">
        <v>140</v>
      </c>
      <c r="G7" s="100" t="s">
        <v>141</v>
      </c>
      <c r="H7" s="100" t="s">
        <v>142</v>
      </c>
      <c r="I7" s="100" t="s">
        <v>143</v>
      </c>
      <c r="J7" s="100" t="s">
        <v>144</v>
      </c>
      <c r="K7" s="100" t="s">
        <v>145</v>
      </c>
      <c r="L7" s="100" t="s">
        <v>146</v>
      </c>
      <c r="M7" s="100" t="s">
        <v>147</v>
      </c>
      <c r="N7" s="100" t="s">
        <v>148</v>
      </c>
      <c r="O7" s="100" t="s">
        <v>149</v>
      </c>
      <c r="P7" s="100" t="s">
        <v>138</v>
      </c>
      <c r="Q7" s="100" t="s">
        <v>139</v>
      </c>
      <c r="R7" s="100" t="s">
        <v>140</v>
      </c>
      <c r="S7" s="100" t="s">
        <v>141</v>
      </c>
      <c r="T7" s="100" t="s">
        <v>142</v>
      </c>
      <c r="U7" s="100" t="s">
        <v>143</v>
      </c>
    </row>
    <row r="8" spans="1:21" ht="15">
      <c r="A8" s="100" t="s">
        <v>64</v>
      </c>
      <c r="B8" s="102" t="s">
        <v>297</v>
      </c>
      <c r="C8" s="101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</row>
    <row r="9" spans="1:21" ht="14.25">
      <c r="A9" s="101">
        <v>1</v>
      </c>
      <c r="B9" s="27" t="s">
        <v>440</v>
      </c>
      <c r="C9" s="186" t="s">
        <v>441</v>
      </c>
      <c r="D9" s="183">
        <v>2529.9859999999981</v>
      </c>
      <c r="E9" s="183">
        <v>2434.4409999999984</v>
      </c>
      <c r="F9" s="183">
        <v>2214.4279999999985</v>
      </c>
      <c r="G9" s="183">
        <v>2152.0599999999986</v>
      </c>
      <c r="H9" s="183">
        <v>1939.1229999999985</v>
      </c>
      <c r="I9" s="183">
        <v>1976.9019999999982</v>
      </c>
      <c r="J9" s="183">
        <v>2215.449999999998</v>
      </c>
      <c r="K9" s="183">
        <v>1902.9369999999981</v>
      </c>
      <c r="L9" s="183">
        <v>1882.8569999999982</v>
      </c>
      <c r="M9" s="183">
        <v>1794.997999999998</v>
      </c>
      <c r="N9" s="183">
        <v>1834.4129999999977</v>
      </c>
      <c r="O9" s="183">
        <v>2080.6519999999978</v>
      </c>
      <c r="P9" s="183">
        <v>1877.409999999998</v>
      </c>
      <c r="Q9" s="183">
        <v>2096.1069999999982</v>
      </c>
      <c r="R9" s="183">
        <v>1938.5839999999982</v>
      </c>
      <c r="S9" s="183">
        <v>1540.6499999999983</v>
      </c>
      <c r="T9" s="183">
        <v>1518.6779999999983</v>
      </c>
      <c r="U9" s="183">
        <v>1731.0599999999981</v>
      </c>
    </row>
    <row r="10" spans="1:21" ht="14.25">
      <c r="A10" s="101">
        <v>2</v>
      </c>
      <c r="B10" s="27" t="s">
        <v>299</v>
      </c>
      <c r="C10" s="186" t="s">
        <v>442</v>
      </c>
      <c r="D10" s="184">
        <v>15.563703355514457</v>
      </c>
      <c r="E10" s="184">
        <v>14.964498333040797</v>
      </c>
      <c r="F10" s="184">
        <v>13.567388932322649</v>
      </c>
      <c r="G10" s="184">
        <v>13.198229052380487</v>
      </c>
      <c r="H10" s="184">
        <v>11.886686816716994</v>
      </c>
      <c r="I10" s="184">
        <v>12.194706561857975</v>
      </c>
      <c r="J10" s="184">
        <v>13.88225177068305</v>
      </c>
      <c r="K10" s="184">
        <v>11.915534570589703</v>
      </c>
      <c r="L10" s="184">
        <v>11.893055376374322</v>
      </c>
      <c r="M10" s="184">
        <v>11.179210096515979</v>
      </c>
      <c r="N10" s="184">
        <v>11.430241834045075</v>
      </c>
      <c r="O10" s="184">
        <v>12.839439447067269</v>
      </c>
      <c r="P10" s="184">
        <v>11.662265197855216</v>
      </c>
      <c r="Q10" s="184">
        <v>13.07927799405385</v>
      </c>
      <c r="R10" s="184">
        <v>12.097026262871026</v>
      </c>
      <c r="S10" s="184">
        <v>9.6359364003524686</v>
      </c>
      <c r="T10" s="184">
        <v>9.5016832861506746</v>
      </c>
      <c r="U10" s="184">
        <v>11.089574889075909</v>
      </c>
    </row>
    <row r="11" spans="1:21" ht="15">
      <c r="A11" s="100" t="s">
        <v>68</v>
      </c>
      <c r="B11" s="102" t="s">
        <v>302</v>
      </c>
      <c r="C11" s="186"/>
      <c r="D11" s="183"/>
      <c r="E11" s="183"/>
      <c r="F11" s="183"/>
      <c r="G11" s="183"/>
      <c r="H11" s="183"/>
      <c r="I11" s="183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</row>
    <row r="12" spans="1:21" ht="14.25">
      <c r="A12" s="101">
        <v>3</v>
      </c>
      <c r="B12" s="27" t="s">
        <v>443</v>
      </c>
      <c r="C12" s="186" t="s">
        <v>441</v>
      </c>
      <c r="D12" s="183">
        <v>0</v>
      </c>
      <c r="E12" s="183">
        <v>0</v>
      </c>
      <c r="F12" s="183">
        <v>98.709000000000003</v>
      </c>
      <c r="G12" s="183">
        <v>0</v>
      </c>
      <c r="H12" s="183">
        <v>504.31299999999999</v>
      </c>
      <c r="I12" s="183">
        <v>372.49099999999999</v>
      </c>
      <c r="J12" s="183">
        <v>0</v>
      </c>
      <c r="K12" s="183">
        <v>50</v>
      </c>
      <c r="L12" s="183">
        <v>310.27199999999999</v>
      </c>
      <c r="M12" s="183">
        <v>353.71</v>
      </c>
      <c r="N12" s="183">
        <v>299.53300000000002</v>
      </c>
      <c r="O12" s="183">
        <v>54</v>
      </c>
      <c r="P12" s="183">
        <v>292.27999999999997</v>
      </c>
      <c r="Q12" s="183">
        <v>0</v>
      </c>
      <c r="R12" s="183">
        <v>0</v>
      </c>
      <c r="S12" s="183">
        <v>0</v>
      </c>
      <c r="T12" s="183">
        <v>726.81100000000004</v>
      </c>
      <c r="U12" s="183">
        <v>405.09699999999998</v>
      </c>
    </row>
    <row r="13" spans="1:21" ht="14.25">
      <c r="A13" s="101">
        <v>4</v>
      </c>
      <c r="B13" s="27" t="s">
        <v>444</v>
      </c>
      <c r="C13" s="186" t="s">
        <v>441</v>
      </c>
      <c r="D13" s="183"/>
      <c r="E13" s="183"/>
      <c r="F13" s="183"/>
      <c r="G13" s="183"/>
      <c r="H13" s="183"/>
      <c r="I13" s="183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</row>
    <row r="14" spans="1:21" ht="14.25">
      <c r="A14" s="101">
        <v>5</v>
      </c>
      <c r="B14" s="27" t="s">
        <v>445</v>
      </c>
      <c r="C14" s="186" t="s">
        <v>441</v>
      </c>
      <c r="D14" s="183"/>
      <c r="E14" s="183"/>
      <c r="F14" s="183"/>
      <c r="G14" s="183"/>
      <c r="H14" s="183"/>
      <c r="I14" s="183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</row>
    <row r="15" spans="1:21" ht="14.25">
      <c r="A15" s="101">
        <v>6</v>
      </c>
      <c r="B15" s="27" t="s">
        <v>305</v>
      </c>
      <c r="C15" s="186" t="s">
        <v>441</v>
      </c>
      <c r="D15" s="183"/>
      <c r="E15" s="183"/>
      <c r="F15" s="183"/>
      <c r="G15" s="183"/>
      <c r="H15" s="183"/>
      <c r="I15" s="183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 ht="14.25">
      <c r="A16" s="101">
        <v>7</v>
      </c>
      <c r="B16" s="27" t="s">
        <v>446</v>
      </c>
      <c r="C16" s="186" t="s">
        <v>441</v>
      </c>
      <c r="D16" s="183"/>
      <c r="E16" s="183"/>
      <c r="F16" s="183"/>
      <c r="G16" s="183"/>
      <c r="H16" s="183"/>
      <c r="I16" s="183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1" ht="15">
      <c r="A17" s="100" t="s">
        <v>69</v>
      </c>
      <c r="B17" s="102" t="s">
        <v>307</v>
      </c>
      <c r="C17" s="186"/>
      <c r="D17" s="183"/>
      <c r="E17" s="183"/>
      <c r="F17" s="183"/>
      <c r="G17" s="183"/>
      <c r="H17" s="183"/>
      <c r="I17" s="183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1" ht="14.25">
      <c r="A18" s="101">
        <v>8</v>
      </c>
      <c r="B18" s="27" t="s">
        <v>447</v>
      </c>
      <c r="C18" s="186" t="s">
        <v>442</v>
      </c>
      <c r="D18" s="184">
        <v>0</v>
      </c>
      <c r="E18" s="184">
        <v>0</v>
      </c>
      <c r="F18" s="184">
        <v>0.62555067900000005</v>
      </c>
      <c r="G18" s="184">
        <v>0</v>
      </c>
      <c r="H18" s="184">
        <v>3.181112256</v>
      </c>
      <c r="I18" s="184">
        <v>2.5130613999999998</v>
      </c>
      <c r="J18" s="184">
        <v>0</v>
      </c>
      <c r="K18" s="184">
        <v>0.41797600000000001</v>
      </c>
      <c r="L18" s="184">
        <v>1.8364933239999999</v>
      </c>
      <c r="M18" s="184">
        <v>2.207153565</v>
      </c>
      <c r="N18" s="184">
        <v>1.7389022000000001</v>
      </c>
      <c r="O18" s="184">
        <v>0.43515809999999999</v>
      </c>
      <c r="P18" s="184">
        <v>1.8748502</v>
      </c>
      <c r="Q18" s="184">
        <v>0</v>
      </c>
      <c r="R18" s="184">
        <v>0</v>
      </c>
      <c r="S18" s="184">
        <v>0</v>
      </c>
      <c r="T18" s="184">
        <v>4.8847655080000001</v>
      </c>
      <c r="U18" s="184">
        <v>2.4328401999999998</v>
      </c>
    </row>
    <row r="19" spans="1:21" ht="14.25">
      <c r="A19" s="101">
        <v>9</v>
      </c>
      <c r="B19" s="27" t="s">
        <v>448</v>
      </c>
      <c r="C19" s="186" t="s">
        <v>442</v>
      </c>
      <c r="D19" s="183"/>
      <c r="E19" s="183"/>
      <c r="F19" s="183"/>
      <c r="G19" s="183"/>
      <c r="H19" s="183"/>
      <c r="I19" s="183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</row>
    <row r="20" spans="1:21" ht="14.25">
      <c r="A20" s="101">
        <v>10</v>
      </c>
      <c r="B20" s="27" t="s">
        <v>310</v>
      </c>
      <c r="C20" s="186" t="s">
        <v>442</v>
      </c>
      <c r="D20" s="183"/>
      <c r="E20" s="183"/>
      <c r="F20" s="183"/>
      <c r="G20" s="183"/>
      <c r="H20" s="183"/>
      <c r="I20" s="183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</row>
    <row r="21" spans="1:21" ht="14.25">
      <c r="A21" s="101">
        <v>11</v>
      </c>
      <c r="B21" s="27" t="s">
        <v>311</v>
      </c>
      <c r="C21" s="186" t="s">
        <v>442</v>
      </c>
      <c r="D21" s="184">
        <v>0</v>
      </c>
      <c r="E21" s="184">
        <v>0</v>
      </c>
      <c r="F21" s="184">
        <v>0.62555067900000005</v>
      </c>
      <c r="G21" s="184">
        <v>0</v>
      </c>
      <c r="H21" s="184">
        <v>3.181112256</v>
      </c>
      <c r="I21" s="184">
        <v>2.5130613999999998</v>
      </c>
      <c r="J21" s="184">
        <v>0</v>
      </c>
      <c r="K21" s="184">
        <v>0.41797600000000001</v>
      </c>
      <c r="L21" s="184">
        <v>1.8364933239999999</v>
      </c>
      <c r="M21" s="184">
        <v>2.207153565</v>
      </c>
      <c r="N21" s="184">
        <v>1.7389022000000001</v>
      </c>
      <c r="O21" s="184">
        <v>0.43515809999999999</v>
      </c>
      <c r="P21" s="184">
        <v>1.8748502</v>
      </c>
      <c r="Q21" s="184">
        <v>0</v>
      </c>
      <c r="R21" s="184">
        <v>0</v>
      </c>
      <c r="S21" s="184">
        <v>0</v>
      </c>
      <c r="T21" s="184">
        <v>4.8847655080000001</v>
      </c>
      <c r="U21" s="184">
        <v>2.4328401999999998</v>
      </c>
    </row>
    <row r="22" spans="1:21" ht="15">
      <c r="A22" s="100" t="s">
        <v>312</v>
      </c>
      <c r="B22" s="102" t="s">
        <v>313</v>
      </c>
      <c r="C22" s="186"/>
      <c r="D22" s="183"/>
      <c r="E22" s="183"/>
      <c r="F22" s="183"/>
      <c r="G22" s="183"/>
      <c r="H22" s="183"/>
      <c r="I22" s="183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</row>
    <row r="23" spans="1:21" ht="14.25">
      <c r="A23" s="101">
        <v>12</v>
      </c>
      <c r="B23" s="27" t="s">
        <v>314</v>
      </c>
      <c r="C23" s="186"/>
      <c r="D23" s="183"/>
      <c r="E23" s="183"/>
      <c r="F23" s="183"/>
      <c r="G23" s="183"/>
      <c r="H23" s="183"/>
      <c r="I23" s="183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</row>
    <row r="24" spans="1:21" ht="14.25">
      <c r="A24" s="101"/>
      <c r="B24" s="27" t="s">
        <v>315</v>
      </c>
      <c r="C24" s="186" t="s">
        <v>442</v>
      </c>
      <c r="D24" s="183"/>
      <c r="E24" s="183"/>
      <c r="F24" s="183"/>
      <c r="G24" s="183"/>
      <c r="H24" s="183"/>
      <c r="I24" s="183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</row>
    <row r="25" spans="1:21" ht="14.25">
      <c r="A25" s="101"/>
      <c r="B25" s="27" t="s">
        <v>316</v>
      </c>
      <c r="C25" s="186" t="s">
        <v>442</v>
      </c>
      <c r="D25" s="183"/>
      <c r="E25" s="183"/>
      <c r="F25" s="183"/>
      <c r="G25" s="183"/>
      <c r="H25" s="183"/>
      <c r="I25" s="183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</row>
    <row r="26" spans="1:21" ht="14.25">
      <c r="A26" s="101"/>
      <c r="B26" s="27" t="s">
        <v>317</v>
      </c>
      <c r="C26" s="186" t="s">
        <v>442</v>
      </c>
      <c r="D26" s="183"/>
      <c r="E26" s="183"/>
      <c r="F26" s="183"/>
      <c r="G26" s="183"/>
      <c r="H26" s="183"/>
      <c r="I26" s="183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</row>
    <row r="27" spans="1:21" ht="14.25">
      <c r="A27" s="101"/>
      <c r="B27" s="27" t="s">
        <v>6</v>
      </c>
      <c r="C27" s="186" t="s">
        <v>442</v>
      </c>
      <c r="D27" s="183"/>
      <c r="E27" s="183"/>
      <c r="F27" s="183"/>
      <c r="G27" s="183"/>
      <c r="H27" s="183"/>
      <c r="I27" s="183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</row>
    <row r="28" spans="1:21" ht="14.25">
      <c r="A28" s="101">
        <v>13</v>
      </c>
      <c r="B28" s="27" t="s">
        <v>449</v>
      </c>
      <c r="C28" s="186" t="s">
        <v>442</v>
      </c>
      <c r="D28" s="183"/>
      <c r="E28" s="183"/>
      <c r="F28" s="183"/>
      <c r="G28" s="183"/>
      <c r="H28" s="183"/>
      <c r="I28" s="183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</row>
    <row r="29" spans="1:21" ht="14.25">
      <c r="A29" s="101">
        <v>14</v>
      </c>
      <c r="B29" s="27" t="s">
        <v>319</v>
      </c>
      <c r="C29" s="186" t="s">
        <v>442</v>
      </c>
      <c r="D29" s="183"/>
      <c r="E29" s="183"/>
      <c r="F29" s="183"/>
      <c r="G29" s="183"/>
      <c r="H29" s="183"/>
      <c r="I29" s="183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</row>
    <row r="30" spans="1:21" ht="21.75" customHeight="1">
      <c r="A30" s="101">
        <v>15</v>
      </c>
      <c r="B30" s="27" t="s">
        <v>450</v>
      </c>
      <c r="C30" s="186" t="s">
        <v>442</v>
      </c>
      <c r="D30" s="183"/>
      <c r="E30" s="183"/>
      <c r="F30" s="183"/>
      <c r="G30" s="183"/>
      <c r="H30" s="183"/>
      <c r="I30" s="183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</row>
    <row r="31" spans="1:21" ht="14.25">
      <c r="A31" s="101">
        <v>16</v>
      </c>
      <c r="B31" s="27" t="s">
        <v>320</v>
      </c>
      <c r="C31" s="186" t="s">
        <v>442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84">
        <v>0</v>
      </c>
      <c r="N31" s="184">
        <v>0</v>
      </c>
      <c r="O31" s="184">
        <v>0</v>
      </c>
      <c r="P31" s="184">
        <v>0</v>
      </c>
      <c r="Q31" s="184">
        <v>0</v>
      </c>
      <c r="R31" s="184">
        <v>0</v>
      </c>
      <c r="S31" s="184">
        <v>0</v>
      </c>
      <c r="T31" s="184">
        <v>0</v>
      </c>
      <c r="U31" s="184">
        <v>0</v>
      </c>
    </row>
    <row r="32" spans="1:21" ht="14.25">
      <c r="A32" s="101">
        <v>17</v>
      </c>
      <c r="B32" s="27" t="s">
        <v>451</v>
      </c>
      <c r="C32" s="186" t="s">
        <v>442</v>
      </c>
      <c r="D32" s="184">
        <v>0</v>
      </c>
      <c r="E32" s="184">
        <v>0</v>
      </c>
      <c r="F32" s="184">
        <v>0.62555067900000005</v>
      </c>
      <c r="G32" s="184">
        <v>0</v>
      </c>
      <c r="H32" s="184">
        <v>3.181112256</v>
      </c>
      <c r="I32" s="184">
        <v>2.5130613999999998</v>
      </c>
      <c r="J32" s="184">
        <v>0</v>
      </c>
      <c r="K32" s="184">
        <v>0.41797600000000001</v>
      </c>
      <c r="L32" s="184">
        <v>1.8364933239999999</v>
      </c>
      <c r="M32" s="184">
        <v>2.207153565</v>
      </c>
      <c r="N32" s="184">
        <v>1.7389022000000001</v>
      </c>
      <c r="O32" s="184">
        <v>0.43515809999999999</v>
      </c>
      <c r="P32" s="184">
        <v>1.8748502</v>
      </c>
      <c r="Q32" s="184">
        <v>0</v>
      </c>
      <c r="R32" s="184">
        <v>0</v>
      </c>
      <c r="S32" s="184">
        <v>0</v>
      </c>
      <c r="T32" s="184">
        <v>4.8847655080000001</v>
      </c>
      <c r="U32" s="184">
        <v>2.4328401999999998</v>
      </c>
    </row>
    <row r="33" spans="1:21" ht="15">
      <c r="A33" s="100" t="s">
        <v>322</v>
      </c>
      <c r="B33" s="102" t="s">
        <v>184</v>
      </c>
      <c r="C33" s="186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</row>
    <row r="34" spans="1:21" ht="14.25">
      <c r="A34" s="101">
        <v>18</v>
      </c>
      <c r="B34" s="27" t="s">
        <v>452</v>
      </c>
      <c r="C34" s="186" t="s">
        <v>453</v>
      </c>
      <c r="D34" s="183">
        <v>61516.954463441572</v>
      </c>
      <c r="E34" s="183">
        <v>61469.956893762501</v>
      </c>
      <c r="F34" s="183">
        <v>61357.972361008702</v>
      </c>
      <c r="G34" s="183">
        <v>61328.350754070503</v>
      </c>
      <c r="H34" s="183">
        <v>61666.436414610427</v>
      </c>
      <c r="I34" s="183">
        <v>62602.416717245629</v>
      </c>
      <c r="J34" s="183">
        <v>62661.092647918311</v>
      </c>
      <c r="K34" s="183">
        <v>63153.653039446304</v>
      </c>
      <c r="L34" s="183">
        <v>62602.558720323032</v>
      </c>
      <c r="M34" s="183">
        <v>62299.59427486654</v>
      </c>
      <c r="N34" s="183">
        <v>61712.639560912459</v>
      </c>
      <c r="O34" s="183">
        <v>62186.237134049406</v>
      </c>
      <c r="P34" s="183">
        <v>62391.933399956826</v>
      </c>
      <c r="Q34" s="183">
        <v>62397.950076278845</v>
      </c>
      <c r="R34" s="183">
        <v>62401.352032571383</v>
      </c>
      <c r="S34" s="183">
        <v>62544.616884772528</v>
      </c>
      <c r="T34" s="183">
        <v>64068.222085036643</v>
      </c>
      <c r="U34" s="183">
        <v>63302.533891824991</v>
      </c>
    </row>
    <row r="35" spans="1:21" ht="14.25">
      <c r="A35" s="101">
        <v>19</v>
      </c>
      <c r="B35" s="27" t="s">
        <v>325</v>
      </c>
      <c r="C35" s="186"/>
      <c r="D35" s="183"/>
      <c r="E35" s="183"/>
      <c r="F35" s="183"/>
      <c r="G35" s="183"/>
      <c r="H35" s="183"/>
      <c r="I35" s="183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</row>
    <row r="36" spans="1:21" ht="14.25">
      <c r="A36" s="101">
        <v>20</v>
      </c>
      <c r="B36" s="27" t="s">
        <v>454</v>
      </c>
      <c r="C36" s="186" t="s">
        <v>453</v>
      </c>
      <c r="D36" s="183"/>
      <c r="E36" s="183"/>
      <c r="F36" s="183"/>
      <c r="G36" s="183"/>
      <c r="H36" s="183"/>
      <c r="I36" s="183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</row>
    <row r="37" spans="1:21" ht="15">
      <c r="A37" s="100" t="s">
        <v>327</v>
      </c>
      <c r="B37" s="102" t="s">
        <v>328</v>
      </c>
      <c r="C37" s="186"/>
      <c r="D37" s="183"/>
      <c r="E37" s="183"/>
      <c r="F37" s="183"/>
      <c r="G37" s="183"/>
      <c r="H37" s="183"/>
      <c r="I37" s="183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1:21" ht="14.25">
      <c r="A38" s="101">
        <v>21</v>
      </c>
      <c r="B38" s="27" t="s">
        <v>455</v>
      </c>
      <c r="C38" s="186" t="s">
        <v>456</v>
      </c>
      <c r="D38" s="183"/>
      <c r="E38" s="183"/>
      <c r="F38" s="183"/>
      <c r="G38" s="183"/>
      <c r="H38" s="183"/>
      <c r="I38" s="183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</row>
    <row r="39" spans="1:21" ht="14.25">
      <c r="A39" s="101">
        <v>22</v>
      </c>
      <c r="B39" s="27" t="s">
        <v>457</v>
      </c>
      <c r="C39" s="186" t="s">
        <v>456</v>
      </c>
      <c r="D39" s="183"/>
      <c r="E39" s="183"/>
      <c r="F39" s="183"/>
      <c r="G39" s="183"/>
      <c r="H39" s="183"/>
      <c r="I39" s="183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</row>
    <row r="40" spans="1:21" ht="14.25">
      <c r="A40" s="101">
        <v>23</v>
      </c>
      <c r="B40" s="27" t="s">
        <v>458</v>
      </c>
      <c r="C40" s="186" t="s">
        <v>456</v>
      </c>
      <c r="D40" s="183"/>
      <c r="E40" s="183"/>
      <c r="F40" s="183"/>
      <c r="G40" s="183"/>
      <c r="H40" s="183"/>
      <c r="I40" s="183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</row>
    <row r="41" spans="1:21" ht="14.25">
      <c r="A41" s="101">
        <v>24</v>
      </c>
      <c r="B41" s="27" t="s">
        <v>459</v>
      </c>
      <c r="C41" s="186" t="s">
        <v>456</v>
      </c>
      <c r="D41" s="183"/>
      <c r="E41" s="183"/>
      <c r="F41" s="183"/>
      <c r="G41" s="183"/>
      <c r="H41" s="183"/>
      <c r="I41" s="183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</row>
    <row r="42" spans="1:21" ht="14.25">
      <c r="A42" s="101">
        <v>25</v>
      </c>
      <c r="B42" s="27" t="s">
        <v>460</v>
      </c>
      <c r="C42" s="186" t="s">
        <v>456</v>
      </c>
      <c r="D42" s="183"/>
      <c r="E42" s="183"/>
      <c r="F42" s="183"/>
      <c r="G42" s="183"/>
      <c r="H42" s="183"/>
      <c r="I42" s="183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</row>
    <row r="43" spans="1:21" ht="14.25">
      <c r="A43" s="101">
        <v>26</v>
      </c>
      <c r="B43" s="27" t="s">
        <v>461</v>
      </c>
      <c r="C43" s="186" t="s">
        <v>456</v>
      </c>
      <c r="D43" s="183"/>
      <c r="E43" s="183"/>
      <c r="F43" s="183"/>
      <c r="G43" s="183"/>
      <c r="H43" s="183"/>
      <c r="I43" s="183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</row>
    <row r="44" spans="1:21" ht="14.25">
      <c r="A44" s="101">
        <v>27</v>
      </c>
      <c r="B44" s="27" t="s">
        <v>462</v>
      </c>
      <c r="C44" s="186" t="s">
        <v>456</v>
      </c>
      <c r="D44" s="183"/>
      <c r="E44" s="183"/>
      <c r="F44" s="183"/>
      <c r="G44" s="183"/>
      <c r="H44" s="183"/>
      <c r="I44" s="183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</row>
    <row r="45" spans="1:21" ht="14.25">
      <c r="A45" s="101">
        <v>28</v>
      </c>
      <c r="B45" s="27" t="s">
        <v>463</v>
      </c>
      <c r="C45" s="186" t="s">
        <v>456</v>
      </c>
      <c r="D45" s="183"/>
      <c r="E45" s="183"/>
      <c r="F45" s="183"/>
      <c r="G45" s="183"/>
      <c r="H45" s="183"/>
      <c r="I45" s="183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</row>
    <row r="46" spans="1:21" ht="14.25">
      <c r="A46" s="101">
        <v>29</v>
      </c>
      <c r="B46" s="27" t="s">
        <v>464</v>
      </c>
      <c r="C46" s="186" t="s">
        <v>456</v>
      </c>
      <c r="D46" s="183"/>
      <c r="E46" s="183"/>
      <c r="F46" s="183"/>
      <c r="G46" s="183"/>
      <c r="H46" s="183"/>
      <c r="I46" s="183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</row>
    <row r="47" spans="1:21" ht="14.25">
      <c r="A47" s="101">
        <v>30</v>
      </c>
      <c r="B47" s="27" t="s">
        <v>465</v>
      </c>
      <c r="C47" s="186" t="s">
        <v>456</v>
      </c>
      <c r="D47" s="281"/>
      <c r="E47" s="282"/>
      <c r="F47" s="282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3"/>
    </row>
    <row r="48" spans="1:21" ht="15">
      <c r="A48" s="99" t="s">
        <v>234</v>
      </c>
    </row>
    <row r="49" spans="1:2" ht="14.25">
      <c r="A49" s="98">
        <v>1</v>
      </c>
      <c r="B49" s="97" t="s">
        <v>336</v>
      </c>
    </row>
    <row r="50" spans="1:2" ht="14.25">
      <c r="A50" s="98">
        <v>2</v>
      </c>
      <c r="B50" s="97" t="s">
        <v>337</v>
      </c>
    </row>
    <row r="51" spans="1:2" ht="14.25">
      <c r="A51" s="98">
        <v>3</v>
      </c>
      <c r="B51" s="97" t="s">
        <v>338</v>
      </c>
    </row>
    <row r="52" spans="1:2" ht="14.25">
      <c r="A52" s="98">
        <v>4</v>
      </c>
      <c r="B52" s="97" t="s">
        <v>339</v>
      </c>
    </row>
  </sheetData>
  <mergeCells count="9">
    <mergeCell ref="A4:U4"/>
    <mergeCell ref="A3:U3"/>
    <mergeCell ref="A2:U2"/>
    <mergeCell ref="P6:U6"/>
    <mergeCell ref="D47:U47"/>
    <mergeCell ref="A6:A7"/>
    <mergeCell ref="B6:B7"/>
    <mergeCell ref="C6:C7"/>
    <mergeCell ref="D6:O6"/>
  </mergeCells>
  <printOptions horizontalCentered="1" verticalCentered="1"/>
  <pageMargins left="0.20866141699999999" right="0.20866141699999999" top="0" bottom="0.74803149606299202" header="0.31496062992126" footer="0.31496062992126"/>
  <pageSetup paperSize="9" scale="5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1"/>
  <sheetViews>
    <sheetView showGridLines="0" view="pageBreakPreview" topLeftCell="A3" zoomScaleNormal="91" zoomScaleSheetLayoutView="100" workbookViewId="0">
      <selection activeCell="G5" sqref="G5"/>
    </sheetView>
  </sheetViews>
  <sheetFormatPr defaultColWidth="9.28515625" defaultRowHeight="14.25"/>
  <cols>
    <col min="1" max="1" width="2.42578125" style="97" customWidth="1"/>
    <col min="2" max="2" width="33.7109375" style="97" customWidth="1"/>
    <col min="3" max="3" width="11" style="97" customWidth="1"/>
    <col min="4" max="4" width="11.7109375" style="97" customWidth="1"/>
    <col min="5" max="5" width="13.85546875" style="97" customWidth="1"/>
    <col min="6" max="6" width="12" style="97" customWidth="1"/>
    <col min="7" max="7" width="15" style="97" customWidth="1"/>
    <col min="8" max="8" width="16.5703125" style="97" bestFit="1" customWidth="1"/>
    <col min="9" max="16384" width="9.28515625" style="97"/>
  </cols>
  <sheetData>
    <row r="2" spans="2:7" ht="14.25" customHeight="1">
      <c r="B2" s="228" t="s">
        <v>397</v>
      </c>
      <c r="C2" s="228"/>
      <c r="D2" s="228"/>
      <c r="E2" s="228"/>
      <c r="F2" s="228"/>
      <c r="G2" s="228"/>
    </row>
    <row r="3" spans="2:7" ht="14.25" customHeight="1">
      <c r="B3" s="228" t="s">
        <v>400</v>
      </c>
      <c r="C3" s="228"/>
      <c r="D3" s="228"/>
      <c r="E3" s="228"/>
      <c r="F3" s="228"/>
      <c r="G3" s="228"/>
    </row>
    <row r="4" spans="2:7" ht="14.25" customHeight="1">
      <c r="B4" s="228" t="s">
        <v>342</v>
      </c>
      <c r="C4" s="228"/>
      <c r="D4" s="228"/>
      <c r="E4" s="228"/>
      <c r="F4" s="228"/>
      <c r="G4" s="228"/>
    </row>
    <row r="5" spans="2:7" ht="15">
      <c r="G5" s="213"/>
    </row>
    <row r="6" spans="2:7" ht="15">
      <c r="B6" s="278" t="s">
        <v>15</v>
      </c>
      <c r="C6" s="278" t="s">
        <v>204</v>
      </c>
      <c r="D6" s="278" t="s">
        <v>36</v>
      </c>
      <c r="E6" s="239" t="s">
        <v>398</v>
      </c>
      <c r="F6" s="240"/>
      <c r="G6" s="241"/>
    </row>
    <row r="7" spans="2:7" ht="30">
      <c r="B7" s="278"/>
      <c r="C7" s="278"/>
      <c r="D7" s="278"/>
      <c r="E7" s="15" t="s">
        <v>366</v>
      </c>
      <c r="F7" s="15" t="s">
        <v>232</v>
      </c>
      <c r="G7" s="15" t="s">
        <v>203</v>
      </c>
    </row>
    <row r="8" spans="2:7" ht="15">
      <c r="B8" s="278"/>
      <c r="C8" s="278"/>
      <c r="D8" s="278"/>
      <c r="E8" s="15" t="s">
        <v>7</v>
      </c>
      <c r="F8" s="15" t="s">
        <v>9</v>
      </c>
      <c r="G8" s="15" t="s">
        <v>225</v>
      </c>
    </row>
    <row r="9" spans="2:7">
      <c r="B9" s="104" t="s">
        <v>166</v>
      </c>
      <c r="C9" s="107" t="s">
        <v>349</v>
      </c>
      <c r="D9" s="107" t="s">
        <v>39</v>
      </c>
      <c r="E9" s="27">
        <v>9</v>
      </c>
      <c r="F9" s="116">
        <v>11.082382130011201</v>
      </c>
      <c r="G9" s="116">
        <f t="shared" ref="G9:G19" si="0">F9</f>
        <v>11.082382130011201</v>
      </c>
    </row>
    <row r="10" spans="2:7">
      <c r="B10" s="105" t="s">
        <v>202</v>
      </c>
      <c r="C10" s="108" t="s">
        <v>359</v>
      </c>
      <c r="D10" s="108" t="s">
        <v>46</v>
      </c>
      <c r="E10" s="27">
        <v>2500</v>
      </c>
      <c r="F10" s="119">
        <v>2346.13</v>
      </c>
      <c r="G10" s="119">
        <f t="shared" si="0"/>
        <v>2346.13</v>
      </c>
    </row>
    <row r="11" spans="2:7">
      <c r="B11" s="104" t="s">
        <v>343</v>
      </c>
      <c r="C11" s="107" t="s">
        <v>350</v>
      </c>
      <c r="D11" s="107" t="s">
        <v>48</v>
      </c>
      <c r="E11" s="27">
        <v>2</v>
      </c>
      <c r="F11" s="116">
        <v>0.39406107387591499</v>
      </c>
      <c r="G11" s="116">
        <f t="shared" si="0"/>
        <v>0.39406107387591499</v>
      </c>
    </row>
    <row r="12" spans="2:7">
      <c r="B12" s="104" t="s">
        <v>344</v>
      </c>
      <c r="C12" s="107" t="s">
        <v>351</v>
      </c>
      <c r="D12" s="107" t="s">
        <v>352</v>
      </c>
      <c r="E12" s="119">
        <f>F12</f>
        <v>9819</v>
      </c>
      <c r="F12" s="119">
        <v>9819</v>
      </c>
      <c r="G12" s="119">
        <f t="shared" si="0"/>
        <v>9819</v>
      </c>
    </row>
    <row r="13" spans="2:7">
      <c r="B13" s="104" t="s">
        <v>345</v>
      </c>
      <c r="C13" s="107" t="s">
        <v>353</v>
      </c>
      <c r="D13" s="107" t="s">
        <v>354</v>
      </c>
      <c r="E13" s="116">
        <f>F13</f>
        <v>6.2502989999999994E-2</v>
      </c>
      <c r="F13" s="116">
        <v>6.2502989999999994E-2</v>
      </c>
      <c r="G13" s="116">
        <f t="shared" si="0"/>
        <v>6.2502989999999994E-2</v>
      </c>
    </row>
    <row r="14" spans="2:7">
      <c r="B14" s="104" t="s">
        <v>360</v>
      </c>
      <c r="C14" s="107" t="s">
        <v>355</v>
      </c>
      <c r="D14" s="107" t="s">
        <v>329</v>
      </c>
      <c r="E14" s="116">
        <f>F14</f>
        <v>2907.3668046824541</v>
      </c>
      <c r="F14" s="116">
        <v>2907.3668046824541</v>
      </c>
      <c r="G14" s="116">
        <f t="shared" si="0"/>
        <v>2907.3668046824541</v>
      </c>
    </row>
    <row r="15" spans="2:7">
      <c r="B15" s="104" t="s">
        <v>346</v>
      </c>
      <c r="C15" s="107" t="s">
        <v>356</v>
      </c>
      <c r="D15" s="107" t="s">
        <v>357</v>
      </c>
      <c r="E15" s="116">
        <f>F15</f>
        <v>4.2890200000000007</v>
      </c>
      <c r="F15" s="116">
        <v>4.2890200000000007</v>
      </c>
      <c r="G15" s="116">
        <f t="shared" si="0"/>
        <v>4.2890200000000007</v>
      </c>
    </row>
    <row r="16" spans="2:7">
      <c r="B16" s="104" t="s">
        <v>347</v>
      </c>
      <c r="C16" s="107"/>
      <c r="D16" s="107" t="s">
        <v>358</v>
      </c>
      <c r="E16" s="116">
        <f>(E10-(E11*E12/1000))/E14</f>
        <v>0.85313005431762434</v>
      </c>
      <c r="F16" s="116">
        <f>(F10-(F11*F12/1000))/F14</f>
        <v>0.80562958569358667</v>
      </c>
      <c r="G16" s="116">
        <f t="shared" si="0"/>
        <v>0.80562958569358667</v>
      </c>
    </row>
    <row r="17" spans="2:8" ht="15">
      <c r="B17" s="104" t="s">
        <v>404</v>
      </c>
      <c r="C17" s="107"/>
      <c r="D17" s="106" t="s">
        <v>199</v>
      </c>
      <c r="E17" s="157">
        <f>IFERROR(((E10-E11*E12/1000)*E15/E14)*100/(100-E9),0)</f>
        <v>4.0209800720542619</v>
      </c>
      <c r="F17" s="157">
        <f>IFERROR(((F10-F11*F12/1000)*F15/F14)*100/(100-F9),0)</f>
        <v>3.886025613825796</v>
      </c>
      <c r="G17" s="157">
        <f t="shared" si="0"/>
        <v>3.886025613825796</v>
      </c>
    </row>
    <row r="18" spans="2:8" ht="15">
      <c r="B18" s="104" t="s">
        <v>405</v>
      </c>
      <c r="C18" s="107"/>
      <c r="D18" s="106" t="s">
        <v>199</v>
      </c>
      <c r="E18" s="157">
        <f>IFERROR((E11*E13)*100/(100-E9),0)</f>
        <v>0.13736920879120879</v>
      </c>
      <c r="F18" s="157">
        <f>IFERROR((F11*F13)*100/(100-F9),0)</f>
        <v>2.7699792178270455E-2</v>
      </c>
      <c r="G18" s="157">
        <f t="shared" si="0"/>
        <v>2.7699792178270455E-2</v>
      </c>
    </row>
    <row r="19" spans="2:8" ht="15">
      <c r="B19" s="106" t="s">
        <v>348</v>
      </c>
      <c r="C19" s="107"/>
      <c r="D19" s="106" t="s">
        <v>199</v>
      </c>
      <c r="E19" s="156">
        <v>4.1572420000000001</v>
      </c>
      <c r="F19" s="156">
        <f>IFERROR(((F10-F11*F12/1000)*F15/F14+F11*F13)*100/(100-F9),0)</f>
        <v>3.9137254060040663</v>
      </c>
      <c r="G19" s="156">
        <f t="shared" si="0"/>
        <v>3.9137254060040663</v>
      </c>
      <c r="H19" s="223"/>
    </row>
    <row r="20" spans="2:8">
      <c r="F20" s="221"/>
    </row>
    <row r="21" spans="2:8">
      <c r="F21" s="222"/>
    </row>
  </sheetData>
  <mergeCells count="7">
    <mergeCell ref="B3:G3"/>
    <mergeCell ref="B2:G2"/>
    <mergeCell ref="E6:G6"/>
    <mergeCell ref="B6:B8"/>
    <mergeCell ref="D6:D8"/>
    <mergeCell ref="C6:C8"/>
    <mergeCell ref="B4:G4"/>
  </mergeCells>
  <pageMargins left="0.95866141699999996" right="0.70866141732283505" top="0.5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3"/>
  <sheetViews>
    <sheetView showGridLines="0" tabSelected="1" view="pageBreakPreview" topLeftCell="A9" zoomScaleNormal="93" zoomScaleSheetLayoutView="100" workbookViewId="0">
      <selection activeCell="G21" sqref="G21"/>
    </sheetView>
  </sheetViews>
  <sheetFormatPr defaultColWidth="9.28515625" defaultRowHeight="14.25"/>
  <cols>
    <col min="1" max="1" width="3" style="13" customWidth="1"/>
    <col min="2" max="2" width="5.7109375" style="13" customWidth="1"/>
    <col min="3" max="3" width="33.5703125" style="13" customWidth="1"/>
    <col min="4" max="4" width="11.5703125" style="13" customWidth="1"/>
    <col min="5" max="5" width="11.85546875" style="13" customWidth="1"/>
    <col min="6" max="6" width="12.42578125" style="13" customWidth="1"/>
    <col min="7" max="7" width="11" style="13" customWidth="1"/>
    <col min="8" max="8" width="15" style="13" customWidth="1"/>
    <col min="9" max="9" width="12.28515625" style="13" customWidth="1"/>
    <col min="10" max="16384" width="9.28515625" style="13"/>
  </cols>
  <sheetData>
    <row r="2" spans="2:9" ht="14.25" customHeight="1">
      <c r="B2" s="228" t="s">
        <v>397</v>
      </c>
      <c r="C2" s="228"/>
      <c r="D2" s="228"/>
      <c r="E2" s="228"/>
      <c r="F2" s="228"/>
      <c r="G2" s="228"/>
      <c r="H2" s="228"/>
      <c r="I2" s="228"/>
    </row>
    <row r="3" spans="2:9" ht="14.25" customHeight="1">
      <c r="B3" s="228" t="s">
        <v>400</v>
      </c>
      <c r="C3" s="228"/>
      <c r="D3" s="228"/>
      <c r="E3" s="228"/>
      <c r="F3" s="228"/>
      <c r="G3" s="228"/>
      <c r="H3" s="228"/>
      <c r="I3" s="228"/>
    </row>
    <row r="4" spans="2:9" s="4" customFormat="1" ht="14.25" customHeight="1">
      <c r="B4" s="224" t="s">
        <v>403</v>
      </c>
      <c r="C4" s="224"/>
      <c r="D4" s="224"/>
      <c r="E4" s="224"/>
      <c r="F4" s="224"/>
      <c r="G4" s="224"/>
      <c r="H4" s="224"/>
      <c r="I4" s="224"/>
    </row>
    <row r="6" spans="2:9">
      <c r="I6" s="211" t="s">
        <v>475</v>
      </c>
    </row>
    <row r="7" spans="2:9" ht="12.75" customHeight="1">
      <c r="B7" s="232" t="s">
        <v>188</v>
      </c>
      <c r="C7" s="235" t="s">
        <v>15</v>
      </c>
      <c r="D7" s="229" t="s">
        <v>36</v>
      </c>
      <c r="E7" s="235" t="s">
        <v>1</v>
      </c>
      <c r="F7" s="239" t="s">
        <v>398</v>
      </c>
      <c r="G7" s="240"/>
      <c r="H7" s="241"/>
      <c r="I7" s="237" t="s">
        <v>8</v>
      </c>
    </row>
    <row r="8" spans="2:9" ht="60" customHeight="1">
      <c r="B8" s="233"/>
      <c r="C8" s="235"/>
      <c r="D8" s="230"/>
      <c r="E8" s="235"/>
      <c r="F8" s="15" t="s">
        <v>366</v>
      </c>
      <c r="G8" s="15" t="s">
        <v>224</v>
      </c>
      <c r="H8" s="220" t="s">
        <v>478</v>
      </c>
      <c r="I8" s="237"/>
    </row>
    <row r="9" spans="2:9" ht="15">
      <c r="B9" s="234"/>
      <c r="C9" s="236"/>
      <c r="D9" s="231"/>
      <c r="E9" s="236"/>
      <c r="F9" s="15" t="s">
        <v>7</v>
      </c>
      <c r="G9" s="15" t="s">
        <v>9</v>
      </c>
      <c r="H9" s="15" t="s">
        <v>225</v>
      </c>
      <c r="I9" s="238"/>
    </row>
    <row r="10" spans="2:9" ht="15">
      <c r="B10" s="22" t="s">
        <v>64</v>
      </c>
      <c r="C10" s="23" t="s">
        <v>228</v>
      </c>
      <c r="D10" s="20"/>
      <c r="E10" s="20"/>
      <c r="F10" s="15"/>
      <c r="G10" s="15"/>
      <c r="H10" s="15"/>
      <c r="I10" s="21"/>
    </row>
    <row r="11" spans="2:9" ht="18" customHeight="1">
      <c r="B11" s="2">
        <v>1</v>
      </c>
      <c r="C11" s="3" t="s">
        <v>33</v>
      </c>
      <c r="D11" s="2" t="s">
        <v>200</v>
      </c>
      <c r="E11" s="17" t="s">
        <v>261</v>
      </c>
      <c r="F11" s="139">
        <f>'F2'!E14</f>
        <v>196.55</v>
      </c>
      <c r="G11" s="139">
        <f>'F2'!F14</f>
        <v>272.29000000000002</v>
      </c>
      <c r="H11" s="139">
        <f>'F2'!G14</f>
        <v>272.29000000000002</v>
      </c>
      <c r="I11" s="144"/>
    </row>
    <row r="12" spans="2:9" ht="17.25" customHeight="1">
      <c r="B12" s="2">
        <f t="shared" ref="B12:B17" si="0">B11+1</f>
        <v>2</v>
      </c>
      <c r="C12" s="18" t="s">
        <v>162</v>
      </c>
      <c r="D12" s="2" t="s">
        <v>200</v>
      </c>
      <c r="E12" s="17" t="s">
        <v>20</v>
      </c>
      <c r="F12" s="145">
        <v>19.149999999999999</v>
      </c>
      <c r="G12" s="145">
        <f>H12</f>
        <v>28.14</v>
      </c>
      <c r="H12" s="139">
        <f>'F4'!K22-'F4'!L22</f>
        <v>28.14</v>
      </c>
      <c r="I12" s="144"/>
    </row>
    <row r="13" spans="2:9" ht="18" customHeight="1">
      <c r="B13" s="2">
        <f t="shared" si="0"/>
        <v>3</v>
      </c>
      <c r="C13" s="3" t="s">
        <v>226</v>
      </c>
      <c r="D13" s="2" t="s">
        <v>200</v>
      </c>
      <c r="E13" s="16" t="s">
        <v>26</v>
      </c>
      <c r="F13" s="139">
        <f>'F5'!D22</f>
        <v>8.39</v>
      </c>
      <c r="G13" s="139">
        <f>'F5'!E22</f>
        <v>0</v>
      </c>
      <c r="H13" s="139">
        <f>'F5'!F22</f>
        <v>0</v>
      </c>
      <c r="I13" s="144"/>
    </row>
    <row r="14" spans="2:9" ht="15">
      <c r="B14" s="2">
        <f t="shared" si="0"/>
        <v>4</v>
      </c>
      <c r="C14" s="18" t="s">
        <v>34</v>
      </c>
      <c r="D14" s="2" t="s">
        <v>200</v>
      </c>
      <c r="E14" s="16" t="s">
        <v>27</v>
      </c>
      <c r="F14" s="139">
        <f>'F6'!D20</f>
        <v>30.55</v>
      </c>
      <c r="G14" s="139">
        <f ca="1">'F6'!E20</f>
        <v>46.219911622798676</v>
      </c>
      <c r="H14" s="139">
        <f ca="1">'F6'!F20</f>
        <v>46.219911622798676</v>
      </c>
      <c r="I14" s="144"/>
    </row>
    <row r="15" spans="2:9" ht="18.75" customHeight="1">
      <c r="B15" s="2">
        <f t="shared" si="0"/>
        <v>5</v>
      </c>
      <c r="C15" s="3" t="s">
        <v>227</v>
      </c>
      <c r="D15" s="2" t="s">
        <v>200</v>
      </c>
      <c r="E15" s="16" t="s">
        <v>28</v>
      </c>
      <c r="F15" s="139">
        <f>'F7'!D22</f>
        <v>127.89</v>
      </c>
      <c r="G15" s="139">
        <f>'F7'!E22</f>
        <v>141.05000000000001</v>
      </c>
      <c r="H15" s="139">
        <f>'F7'!F22</f>
        <v>141.05000000000001</v>
      </c>
      <c r="I15" s="144"/>
    </row>
    <row r="16" spans="2:9" ht="18.75" customHeight="1">
      <c r="B16" s="2">
        <f t="shared" si="0"/>
        <v>6</v>
      </c>
      <c r="C16" s="3" t="s">
        <v>35</v>
      </c>
      <c r="D16" s="2" t="s">
        <v>200</v>
      </c>
      <c r="E16" s="16" t="s">
        <v>29</v>
      </c>
      <c r="F16" s="139">
        <f>'F8'!D33</f>
        <v>0</v>
      </c>
      <c r="G16" s="139">
        <f>'F8'!E33</f>
        <v>10.35</v>
      </c>
      <c r="H16" s="139">
        <f>G16</f>
        <v>10.35</v>
      </c>
      <c r="I16" s="144"/>
    </row>
    <row r="17" spans="2:9" ht="15">
      <c r="B17" s="14">
        <f t="shared" si="0"/>
        <v>7</v>
      </c>
      <c r="C17" s="19" t="s">
        <v>228</v>
      </c>
      <c r="D17" s="14" t="s">
        <v>200</v>
      </c>
      <c r="E17" s="16"/>
      <c r="F17" s="139">
        <f>SUM(F11:F15)-F16</f>
        <v>382.53000000000003</v>
      </c>
      <c r="G17" s="139">
        <f ca="1">SUM(G11:G15)-G16</f>
        <v>477.34991162279869</v>
      </c>
      <c r="H17" s="139">
        <f t="shared" ref="H17" ca="1" si="1">SUM(H11:H15)-H16</f>
        <v>477.34991162279869</v>
      </c>
      <c r="I17" s="144"/>
    </row>
    <row r="18" spans="2:9" ht="15">
      <c r="B18" s="14" t="s">
        <v>68</v>
      </c>
      <c r="C18" s="14" t="s">
        <v>229</v>
      </c>
      <c r="D18" s="16"/>
      <c r="E18" s="16"/>
      <c r="F18" s="16"/>
      <c r="G18" s="3"/>
      <c r="H18" s="140"/>
      <c r="I18" s="3"/>
    </row>
    <row r="19" spans="2:9" ht="18" customHeight="1">
      <c r="B19" s="2">
        <v>1</v>
      </c>
      <c r="C19" s="16" t="s">
        <v>230</v>
      </c>
      <c r="D19" s="2" t="s">
        <v>199</v>
      </c>
      <c r="E19" s="16" t="s">
        <v>159</v>
      </c>
      <c r="F19" s="158">
        <f>'F12'!E19</f>
        <v>4.1572420000000001</v>
      </c>
      <c r="G19" s="158">
        <f>'F12'!F19</f>
        <v>3.9137254060040663</v>
      </c>
      <c r="H19" s="158">
        <f>'F12'!G19</f>
        <v>3.9137254060040663</v>
      </c>
      <c r="I19" s="3"/>
    </row>
    <row r="20" spans="2:9" ht="16.5" customHeight="1">
      <c r="B20" s="2">
        <f>B19+1</f>
        <v>2</v>
      </c>
      <c r="C20" s="16" t="s">
        <v>231</v>
      </c>
      <c r="D20" s="2" t="s">
        <v>42</v>
      </c>
      <c r="E20" s="16" t="s">
        <v>31</v>
      </c>
      <c r="F20" s="139">
        <f>G20</f>
        <v>3101.4795999999997</v>
      </c>
      <c r="G20" s="139">
        <f>'F10'!F23</f>
        <v>3101.4795999999997</v>
      </c>
      <c r="H20" s="139">
        <f>G20</f>
        <v>3101.4795999999997</v>
      </c>
      <c r="I20" s="3"/>
    </row>
    <row r="21" spans="2:9" ht="17.25" customHeight="1">
      <c r="B21" s="2">
        <f>B20+1</f>
        <v>3</v>
      </c>
      <c r="C21" s="16" t="s">
        <v>229</v>
      </c>
      <c r="D21" s="2" t="s">
        <v>200</v>
      </c>
      <c r="E21" s="16"/>
      <c r="F21" s="139">
        <f>ROUND(F19*F20/10,2)</f>
        <v>1289.3599999999999</v>
      </c>
      <c r="G21" s="139">
        <f t="shared" ref="G21:H21" si="2">G19*G20/10</f>
        <v>1213.8339506723328</v>
      </c>
      <c r="H21" s="139">
        <f t="shared" si="2"/>
        <v>1213.8339506723328</v>
      </c>
      <c r="I21" s="3"/>
    </row>
    <row r="22" spans="2:9" ht="18.75" customHeight="1">
      <c r="B22" s="14" t="s">
        <v>69</v>
      </c>
      <c r="C22" s="14" t="s">
        <v>390</v>
      </c>
      <c r="D22" s="2" t="s">
        <v>200</v>
      </c>
      <c r="E22" s="3"/>
      <c r="F22" s="201">
        <f>F17+F21</f>
        <v>1671.8899999999999</v>
      </c>
      <c r="G22" s="139">
        <f t="shared" ref="G22:H22" ca="1" si="3">G17+G21</f>
        <v>1691.1838622951313</v>
      </c>
      <c r="H22" s="139">
        <f t="shared" ca="1" si="3"/>
        <v>1691.1838622951313</v>
      </c>
      <c r="I22" s="3"/>
    </row>
    <row r="23" spans="2:9">
      <c r="F23" s="159"/>
    </row>
  </sheetData>
  <mergeCells count="9">
    <mergeCell ref="B4:I4"/>
    <mergeCell ref="B3:I3"/>
    <mergeCell ref="B2:I2"/>
    <mergeCell ref="D7:D9"/>
    <mergeCell ref="B7:B9"/>
    <mergeCell ref="C7:C9"/>
    <mergeCell ref="E7:E9"/>
    <mergeCell ref="I7:I9"/>
    <mergeCell ref="F7:H7"/>
  </mergeCells>
  <printOptions horizontalCentered="1" verticalCentered="1"/>
  <pageMargins left="0.70866141732283505" right="0.70866141732283505" top="0" bottom="0.74803149606299202" header="0.31496062992126" footer="0.31496062992126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3"/>
  <sheetViews>
    <sheetView showGridLines="0" view="pageBreakPreview" zoomScale="81" zoomScaleNormal="93" zoomScaleSheetLayoutView="81" workbookViewId="0">
      <selection activeCell="M23" sqref="M23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5" ht="15">
      <c r="B1" s="109"/>
    </row>
    <row r="2" spans="2:15" ht="14.25" customHeight="1">
      <c r="B2" s="228" t="s">
        <v>397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2:15" ht="14.25" customHeight="1">
      <c r="B3" s="228" t="s">
        <v>400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</row>
    <row r="4" spans="2:15" ht="15">
      <c r="B4" s="228" t="s">
        <v>361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2:15" ht="15">
      <c r="B5" s="24" t="s">
        <v>398</v>
      </c>
      <c r="C5" s="73"/>
      <c r="D5" s="73"/>
      <c r="E5" s="73"/>
      <c r="F5" s="73"/>
      <c r="G5" s="73"/>
      <c r="H5" s="73"/>
      <c r="I5" s="35"/>
    </row>
    <row r="6" spans="2:15" ht="15">
      <c r="B6" s="24" t="s">
        <v>9</v>
      </c>
      <c r="C6" s="25"/>
      <c r="D6" s="25"/>
      <c r="O6" s="25" t="s">
        <v>137</v>
      </c>
    </row>
    <row r="7" spans="2:15" s="32" customFormat="1" ht="15" customHeight="1">
      <c r="B7" s="30" t="s">
        <v>362</v>
      </c>
      <c r="C7" s="30" t="s">
        <v>138</v>
      </c>
      <c r="D7" s="30" t="s">
        <v>139</v>
      </c>
      <c r="E7" s="110" t="s">
        <v>140</v>
      </c>
      <c r="F7" s="110" t="s">
        <v>141</v>
      </c>
      <c r="G7" s="110" t="s">
        <v>142</v>
      </c>
      <c r="H7" s="110" t="s">
        <v>143</v>
      </c>
      <c r="I7" s="110" t="s">
        <v>144</v>
      </c>
      <c r="J7" s="110" t="s">
        <v>145</v>
      </c>
      <c r="K7" s="110" t="s">
        <v>146</v>
      </c>
      <c r="L7" s="110" t="s">
        <v>147</v>
      </c>
      <c r="M7" s="110" t="s">
        <v>148</v>
      </c>
      <c r="N7" s="110" t="s">
        <v>149</v>
      </c>
      <c r="O7" s="214" t="s">
        <v>136</v>
      </c>
    </row>
    <row r="8" spans="2:15" s="32" customFormat="1" ht="15">
      <c r="B8" s="195" t="s">
        <v>469</v>
      </c>
      <c r="C8" s="147">
        <v>181.701525</v>
      </c>
      <c r="D8" s="147">
        <v>174.75940500000002</v>
      </c>
      <c r="E8" s="147">
        <v>190.07581000000002</v>
      </c>
      <c r="F8" s="187">
        <v>183.352395</v>
      </c>
      <c r="G8" s="147">
        <v>178.03292500000001</v>
      </c>
      <c r="H8" s="147">
        <v>186.44953999999998</v>
      </c>
      <c r="I8" s="147">
        <v>189.37031000000002</v>
      </c>
      <c r="J8" s="147">
        <v>184.74928500000001</v>
      </c>
      <c r="K8" s="147">
        <f>259.94*0.7055</f>
        <v>183.38767000000001</v>
      </c>
      <c r="L8" s="147">
        <f>263.26*0.7055</f>
        <v>185.72993</v>
      </c>
      <c r="M8" s="147">
        <f>240.75*0.7055</f>
        <v>169.84912500000002</v>
      </c>
      <c r="N8" s="147">
        <f>256.0331*0.7055</f>
        <v>180.63135205</v>
      </c>
      <c r="O8" s="215">
        <f>SUM(C8:N8)</f>
        <v>2188.0892720500001</v>
      </c>
    </row>
    <row r="9" spans="2:15" s="32" customFormat="1" ht="15">
      <c r="B9" s="195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39"/>
      <c r="N9" s="39"/>
      <c r="O9" s="215"/>
    </row>
    <row r="10" spans="2:15" s="32" customFormat="1" ht="15">
      <c r="B10" s="195" t="s">
        <v>470</v>
      </c>
      <c r="C10" s="147">
        <v>75.848475000000008</v>
      </c>
      <c r="D10" s="147">
        <v>72.950594999999993</v>
      </c>
      <c r="E10" s="147">
        <v>79.344189999999998</v>
      </c>
      <c r="F10" s="147">
        <v>76.537604999999985</v>
      </c>
      <c r="G10" s="147">
        <v>74.317074999999988</v>
      </c>
      <c r="H10" s="147">
        <v>77.830459999999988</v>
      </c>
      <c r="I10" s="147">
        <v>79.049689999999998</v>
      </c>
      <c r="J10" s="147">
        <v>77.120715000000004</v>
      </c>
      <c r="K10" s="147">
        <v>76.552329999999998</v>
      </c>
      <c r="L10" s="147">
        <f>263.26*0.2945</f>
        <v>77.530069999999995</v>
      </c>
      <c r="M10" s="147">
        <f>240.75*0.2945</f>
        <v>70.900874999999999</v>
      </c>
      <c r="N10" s="147">
        <f>256.0331*0.2945</f>
        <v>75.401747949999987</v>
      </c>
      <c r="O10" s="215">
        <f>SUM(C10:N10)</f>
        <v>913.38382794999995</v>
      </c>
    </row>
    <row r="11" spans="2:15">
      <c r="B11" s="37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16"/>
    </row>
    <row r="12" spans="2:15" ht="15">
      <c r="B12" s="39" t="s">
        <v>136</v>
      </c>
      <c r="C12" s="130">
        <f>C8+C10</f>
        <v>257.55</v>
      </c>
      <c r="D12" s="130">
        <f t="shared" ref="D12:O12" si="0">D8+D10</f>
        <v>247.71</v>
      </c>
      <c r="E12" s="130">
        <f t="shared" si="0"/>
        <v>269.42</v>
      </c>
      <c r="F12" s="130">
        <f t="shared" si="0"/>
        <v>259.89</v>
      </c>
      <c r="G12" s="130">
        <f t="shared" si="0"/>
        <v>252.35</v>
      </c>
      <c r="H12" s="130">
        <f t="shared" si="0"/>
        <v>264.27999999999997</v>
      </c>
      <c r="I12" s="130">
        <f t="shared" si="0"/>
        <v>268.42</v>
      </c>
      <c r="J12" s="130">
        <f t="shared" si="0"/>
        <v>261.87</v>
      </c>
      <c r="K12" s="130">
        <f t="shared" si="0"/>
        <v>259.94</v>
      </c>
      <c r="L12" s="130">
        <f t="shared" si="0"/>
        <v>263.26</v>
      </c>
      <c r="M12" s="130">
        <f t="shared" si="0"/>
        <v>240.75</v>
      </c>
      <c r="N12" s="130">
        <f>N8+N10</f>
        <v>256.03309999999999</v>
      </c>
      <c r="O12" s="217">
        <f t="shared" si="0"/>
        <v>3101.4731000000002</v>
      </c>
    </row>
    <row r="13" spans="2:15" ht="16.5">
      <c r="B13" s="24"/>
      <c r="C13" s="73"/>
      <c r="D13" s="73"/>
      <c r="E13" s="73"/>
      <c r="F13" s="73"/>
      <c r="G13" s="73"/>
      <c r="H13" s="73"/>
      <c r="I13" s="95"/>
    </row>
  </sheetData>
  <mergeCells count="3">
    <mergeCell ref="B3:O3"/>
    <mergeCell ref="B2:O2"/>
    <mergeCell ref="B4:O4"/>
  </mergeCells>
  <pageMargins left="0.20866141699999999" right="0.20866141699999999" top="0.25" bottom="0.74803149606299202" header="0.31496062992126" footer="0.31496062992126"/>
  <pageSetup paperSize="9" scale="8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2"/>
  <sheetViews>
    <sheetView showGridLines="0" view="pageBreakPreview" zoomScaleNormal="93" zoomScaleSheetLayoutView="100" workbookViewId="0">
      <selection activeCell="J27" sqref="J27"/>
    </sheetView>
  </sheetViews>
  <sheetFormatPr defaultColWidth="9.28515625" defaultRowHeight="14.25"/>
  <cols>
    <col min="1" max="1" width="2.42578125" style="13" customWidth="1"/>
    <col min="2" max="2" width="5" style="13" customWidth="1"/>
    <col min="3" max="3" width="40.5703125" style="13" customWidth="1"/>
    <col min="4" max="4" width="13" style="13" customWidth="1"/>
    <col min="5" max="5" width="9.85546875" style="13" customWidth="1"/>
    <col min="6" max="6" width="10.42578125" style="13" customWidth="1"/>
    <col min="7" max="7" width="9" style="13" customWidth="1"/>
    <col min="8" max="8" width="9.7109375" style="13" customWidth="1"/>
    <col min="9" max="9" width="10" style="13" customWidth="1"/>
    <col min="10" max="10" width="11.140625" style="13" customWidth="1"/>
    <col min="11" max="11" width="9.5703125" style="13" customWidth="1"/>
    <col min="12" max="12" width="11.85546875" style="13" customWidth="1"/>
    <col min="13" max="13" width="9.7109375" style="13" customWidth="1"/>
    <col min="14" max="15" width="9" style="13" customWidth="1"/>
    <col min="16" max="16" width="9.28515625" style="13" customWidth="1"/>
    <col min="17" max="17" width="10.42578125" style="13" customWidth="1"/>
    <col min="18" max="16384" width="9.28515625" style="13"/>
  </cols>
  <sheetData>
    <row r="1" spans="2:17" s="5" customFormat="1" ht="15">
      <c r="B1" s="109"/>
    </row>
    <row r="2" spans="2:17" s="5" customFormat="1" ht="15" customHeight="1"/>
    <row r="3" spans="2:17" s="5" customFormat="1" ht="15" customHeight="1">
      <c r="B3" s="228" t="s">
        <v>397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</row>
    <row r="4" spans="2:17" s="5" customFormat="1" ht="15" customHeight="1">
      <c r="B4" s="228" t="s">
        <v>400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</row>
    <row r="5" spans="2:17" ht="15">
      <c r="B5" s="24" t="s">
        <v>398</v>
      </c>
      <c r="G5" s="32" t="s">
        <v>365</v>
      </c>
      <c r="H5" s="32"/>
      <c r="I5" s="32"/>
      <c r="J5" s="32"/>
    </row>
    <row r="6" spans="2:17" ht="15">
      <c r="B6" s="36" t="s">
        <v>9</v>
      </c>
      <c r="P6" s="284" t="s">
        <v>475</v>
      </c>
      <c r="Q6" s="284"/>
    </row>
    <row r="7" spans="2:17" ht="30">
      <c r="B7" s="111" t="s">
        <v>188</v>
      </c>
      <c r="C7" s="111" t="s">
        <v>15</v>
      </c>
      <c r="D7" s="111" t="s">
        <v>36</v>
      </c>
      <c r="E7" s="30" t="s">
        <v>138</v>
      </c>
      <c r="F7" s="30" t="s">
        <v>139</v>
      </c>
      <c r="G7" s="110" t="s">
        <v>140</v>
      </c>
      <c r="H7" s="110" t="s">
        <v>141</v>
      </c>
      <c r="I7" s="110" t="s">
        <v>142</v>
      </c>
      <c r="J7" s="110" t="s">
        <v>143</v>
      </c>
      <c r="K7" s="110" t="s">
        <v>144</v>
      </c>
      <c r="L7" s="110" t="s">
        <v>145</v>
      </c>
      <c r="M7" s="110" t="s">
        <v>146</v>
      </c>
      <c r="N7" s="110" t="s">
        <v>147</v>
      </c>
      <c r="O7" s="110" t="s">
        <v>148</v>
      </c>
      <c r="P7" s="110" t="s">
        <v>149</v>
      </c>
      <c r="Q7" s="112" t="s">
        <v>136</v>
      </c>
    </row>
    <row r="8" spans="2:17" ht="16.5">
      <c r="B8" s="113">
        <v>1</v>
      </c>
      <c r="C8" s="114" t="s">
        <v>167</v>
      </c>
      <c r="D8" s="113" t="s">
        <v>39</v>
      </c>
      <c r="E8" s="188">
        <v>80</v>
      </c>
      <c r="F8" s="188">
        <v>80</v>
      </c>
      <c r="G8" s="188">
        <v>80</v>
      </c>
      <c r="H8" s="188">
        <v>80</v>
      </c>
      <c r="I8" s="188">
        <v>80</v>
      </c>
      <c r="J8" s="188">
        <v>80</v>
      </c>
      <c r="K8" s="188">
        <v>80</v>
      </c>
      <c r="L8" s="188">
        <v>80</v>
      </c>
      <c r="M8" s="188">
        <v>80</v>
      </c>
      <c r="N8" s="188">
        <v>80</v>
      </c>
      <c r="O8" s="188">
        <v>80</v>
      </c>
      <c r="P8" s="188">
        <v>80</v>
      </c>
      <c r="Q8" s="188">
        <v>80</v>
      </c>
    </row>
    <row r="9" spans="2:17" ht="16.5">
      <c r="B9" s="113">
        <f>B8+1</f>
        <v>2</v>
      </c>
      <c r="C9" s="114" t="s">
        <v>189</v>
      </c>
      <c r="D9" s="113" t="s">
        <v>39</v>
      </c>
      <c r="E9" s="188">
        <v>83.65</v>
      </c>
      <c r="F9" s="188">
        <v>86.67</v>
      </c>
      <c r="G9" s="188">
        <v>89.05</v>
      </c>
      <c r="H9" s="188">
        <v>79.98</v>
      </c>
      <c r="I9" s="188">
        <v>76.290000000000006</v>
      </c>
      <c r="J9" s="188">
        <v>82.67</v>
      </c>
      <c r="K9" s="188">
        <v>82.31</v>
      </c>
      <c r="L9" s="188">
        <v>86.95</v>
      </c>
      <c r="M9" s="188">
        <v>83.83</v>
      </c>
      <c r="N9" s="188">
        <v>84.03</v>
      </c>
      <c r="O9" s="188">
        <v>85.78</v>
      </c>
      <c r="P9" s="188">
        <v>84.11</v>
      </c>
      <c r="Q9" s="188">
        <v>83.69</v>
      </c>
    </row>
    <row r="10" spans="2:17" ht="16.5">
      <c r="B10" s="113">
        <f t="shared" ref="B10:B26" si="0">B9+1</f>
        <v>3</v>
      </c>
      <c r="C10" s="114" t="s">
        <v>190</v>
      </c>
      <c r="D10" s="113" t="s">
        <v>39</v>
      </c>
      <c r="E10" s="188">
        <v>83.65</v>
      </c>
      <c r="F10" s="188">
        <v>85.18</v>
      </c>
      <c r="G10" s="188">
        <v>86.46</v>
      </c>
      <c r="H10" s="188">
        <v>84.81</v>
      </c>
      <c r="I10" s="188">
        <v>83.09</v>
      </c>
      <c r="J10" s="188">
        <v>83.02</v>
      </c>
      <c r="K10" s="188">
        <v>82.92</v>
      </c>
      <c r="L10" s="188">
        <v>83.41</v>
      </c>
      <c r="M10" s="188">
        <v>83.46</v>
      </c>
      <c r="N10" s="188">
        <v>83.52</v>
      </c>
      <c r="O10" s="188">
        <v>83.71</v>
      </c>
      <c r="P10" s="188">
        <v>83.75</v>
      </c>
      <c r="Q10" s="188"/>
    </row>
    <row r="11" spans="2:17" ht="16.5">
      <c r="B11" s="113">
        <f t="shared" si="0"/>
        <v>4</v>
      </c>
      <c r="C11" s="114" t="s">
        <v>40</v>
      </c>
      <c r="D11" s="113" t="s">
        <v>39</v>
      </c>
      <c r="E11" s="188">
        <v>80</v>
      </c>
      <c r="F11" s="188">
        <v>80</v>
      </c>
      <c r="G11" s="188">
        <v>80</v>
      </c>
      <c r="H11" s="188">
        <v>80</v>
      </c>
      <c r="I11" s="188">
        <v>80</v>
      </c>
      <c r="J11" s="188">
        <v>80</v>
      </c>
      <c r="K11" s="188">
        <v>80</v>
      </c>
      <c r="L11" s="188">
        <v>80</v>
      </c>
      <c r="M11" s="188">
        <v>80</v>
      </c>
      <c r="N11" s="188">
        <v>80</v>
      </c>
      <c r="O11" s="188">
        <v>80</v>
      </c>
      <c r="P11" s="188">
        <v>80</v>
      </c>
      <c r="Q11" s="188">
        <v>80</v>
      </c>
    </row>
    <row r="12" spans="2:17" ht="16.5">
      <c r="B12" s="113">
        <f t="shared" si="0"/>
        <v>5</v>
      </c>
      <c r="C12" s="114" t="s">
        <v>191</v>
      </c>
      <c r="D12" s="113" t="s">
        <v>39</v>
      </c>
      <c r="E12" s="188">
        <v>80.34</v>
      </c>
      <c r="F12" s="188">
        <v>74.95</v>
      </c>
      <c r="G12" s="188">
        <v>84.06</v>
      </c>
      <c r="H12" s="188">
        <v>78.790000000000006</v>
      </c>
      <c r="I12" s="188">
        <v>76.540000000000006</v>
      </c>
      <c r="J12" s="188">
        <v>82.43</v>
      </c>
      <c r="K12" s="188">
        <v>81.03</v>
      </c>
      <c r="L12" s="188">
        <v>81.7</v>
      </c>
      <c r="M12" s="188">
        <v>78.55</v>
      </c>
      <c r="N12" s="188">
        <v>79.52</v>
      </c>
      <c r="O12" s="188">
        <v>77.819999999999993</v>
      </c>
      <c r="P12" s="188">
        <v>77.53</v>
      </c>
      <c r="Q12" s="188"/>
    </row>
    <row r="13" spans="2:17" ht="16.5">
      <c r="B13" s="113">
        <f t="shared" si="0"/>
        <v>6</v>
      </c>
      <c r="C13" s="114" t="s">
        <v>192</v>
      </c>
      <c r="D13" s="113" t="s">
        <v>39</v>
      </c>
      <c r="E13" s="188">
        <v>80.34</v>
      </c>
      <c r="F13" s="188">
        <v>77.599999999999994</v>
      </c>
      <c r="G13" s="188">
        <v>79.73</v>
      </c>
      <c r="H13" s="188">
        <v>79.489999999999995</v>
      </c>
      <c r="I13" s="188">
        <v>78.89</v>
      </c>
      <c r="J13" s="188">
        <v>79.47</v>
      </c>
      <c r="K13" s="188">
        <v>79.7</v>
      </c>
      <c r="L13" s="188">
        <v>79.94</v>
      </c>
      <c r="M13" s="188">
        <v>79.790000000000006</v>
      </c>
      <c r="N13" s="188">
        <v>79.760000000000005</v>
      </c>
      <c r="O13" s="188">
        <v>79.59</v>
      </c>
      <c r="P13" s="188">
        <v>79.42</v>
      </c>
      <c r="Q13" s="188"/>
    </row>
    <row r="14" spans="2:17" ht="16.5">
      <c r="B14" s="113">
        <f t="shared" si="0"/>
        <v>7</v>
      </c>
      <c r="C14" s="103" t="s">
        <v>193</v>
      </c>
      <c r="D14" s="117" t="s">
        <v>42</v>
      </c>
      <c r="E14" s="188">
        <v>289.22000000000003</v>
      </c>
      <c r="F14" s="188">
        <v>278.8</v>
      </c>
      <c r="G14" s="188">
        <v>302.63</v>
      </c>
      <c r="H14" s="188">
        <v>293.08999999999997</v>
      </c>
      <c r="I14" s="188">
        <v>284.74</v>
      </c>
      <c r="J14" s="188">
        <v>296.74</v>
      </c>
      <c r="K14" s="188">
        <v>301.45</v>
      </c>
      <c r="L14" s="188">
        <v>294.12</v>
      </c>
      <c r="M14" s="188">
        <v>292.22000000000003</v>
      </c>
      <c r="N14" s="188">
        <v>295.81</v>
      </c>
      <c r="O14" s="188">
        <v>270.8</v>
      </c>
      <c r="P14" s="188">
        <v>288.42</v>
      </c>
      <c r="Q14" s="188">
        <v>3488.0400000000004</v>
      </c>
    </row>
    <row r="15" spans="2:17" ht="16.5">
      <c r="B15" s="113">
        <f t="shared" si="0"/>
        <v>8</v>
      </c>
      <c r="C15" s="103" t="s">
        <v>194</v>
      </c>
      <c r="D15" s="117" t="s">
        <v>42</v>
      </c>
      <c r="E15" s="188">
        <v>31.66</v>
      </c>
      <c r="F15" s="188">
        <v>31.1</v>
      </c>
      <c r="G15" s="188">
        <v>33.21</v>
      </c>
      <c r="H15" s="188">
        <v>33.200000000000003</v>
      </c>
      <c r="I15" s="188">
        <v>32.380000000000003</v>
      </c>
      <c r="J15" s="188">
        <v>32.47</v>
      </c>
      <c r="K15" s="188">
        <v>33.03</v>
      </c>
      <c r="L15" s="188">
        <v>32.24</v>
      </c>
      <c r="M15" s="188">
        <v>32.28</v>
      </c>
      <c r="N15" s="188">
        <v>32.56</v>
      </c>
      <c r="O15" s="188">
        <v>30.04</v>
      </c>
      <c r="P15" s="188">
        <v>32.39</v>
      </c>
      <c r="Q15" s="188">
        <v>386.56000000000006</v>
      </c>
    </row>
    <row r="16" spans="2:17" ht="15">
      <c r="B16" s="113">
        <f t="shared" si="0"/>
        <v>9</v>
      </c>
      <c r="C16" s="103" t="s">
        <v>211</v>
      </c>
      <c r="D16" s="117" t="s">
        <v>42</v>
      </c>
      <c r="E16" s="128">
        <v>257.56</v>
      </c>
      <c r="F16" s="128">
        <v>247.70000000000002</v>
      </c>
      <c r="G16" s="128">
        <v>269.42</v>
      </c>
      <c r="H16" s="128">
        <v>259.89</v>
      </c>
      <c r="I16" s="128">
        <v>252.36</v>
      </c>
      <c r="J16" s="128">
        <v>264.27</v>
      </c>
      <c r="K16" s="128">
        <v>268.41999999999996</v>
      </c>
      <c r="L16" s="128">
        <v>261.88</v>
      </c>
      <c r="M16" s="128">
        <v>259.94000000000005</v>
      </c>
      <c r="N16" s="128">
        <v>263.25</v>
      </c>
      <c r="O16" s="128">
        <v>240.76000000000002</v>
      </c>
      <c r="P16" s="128">
        <v>256.03000000000003</v>
      </c>
      <c r="Q16" s="128">
        <v>3101.4800000000005</v>
      </c>
    </row>
    <row r="17" spans="2:17">
      <c r="B17" s="113">
        <f t="shared" si="0"/>
        <v>10</v>
      </c>
      <c r="C17" s="103" t="s">
        <v>212</v>
      </c>
      <c r="D17" s="117" t="s">
        <v>42</v>
      </c>
      <c r="E17" s="115">
        <v>-30.439999999999998</v>
      </c>
      <c r="F17" s="115">
        <v>-49.900000000000006</v>
      </c>
      <c r="G17" s="115">
        <v>-18.579999999999984</v>
      </c>
      <c r="H17" s="115">
        <v>-37.710000000000036</v>
      </c>
      <c r="I17" s="115">
        <v>-45.240000000000009</v>
      </c>
      <c r="J17" s="115">
        <v>-23.730000000000018</v>
      </c>
      <c r="K17" s="115">
        <v>-29.180000000000064</v>
      </c>
      <c r="L17" s="115">
        <v>-26.120000000000005</v>
      </c>
      <c r="M17" s="115">
        <v>-37.659999999999968</v>
      </c>
      <c r="N17" s="115">
        <v>-34.350000000000023</v>
      </c>
      <c r="O17" s="115">
        <v>-37.639999999999958</v>
      </c>
      <c r="P17" s="115">
        <v>-41.569999999999993</v>
      </c>
      <c r="Q17" s="116">
        <v>-412.12000000000006</v>
      </c>
    </row>
    <row r="18" spans="2:17">
      <c r="B18" s="113">
        <f t="shared" si="0"/>
        <v>11</v>
      </c>
      <c r="C18" s="103" t="s">
        <v>195</v>
      </c>
      <c r="D18" s="117" t="s">
        <v>199</v>
      </c>
      <c r="E18" s="190">
        <v>2.76</v>
      </c>
      <c r="F18" s="190">
        <v>2.76</v>
      </c>
      <c r="G18" s="190">
        <v>2.76</v>
      </c>
      <c r="H18" s="190">
        <v>2.76</v>
      </c>
      <c r="I18" s="190">
        <v>2.76</v>
      </c>
      <c r="J18" s="190">
        <v>2.76</v>
      </c>
      <c r="K18" s="190">
        <v>2.76</v>
      </c>
      <c r="L18" s="190">
        <v>2.76</v>
      </c>
      <c r="M18" s="190">
        <v>2.76</v>
      </c>
      <c r="N18" s="190">
        <v>2.76</v>
      </c>
      <c r="O18" s="190">
        <v>2.76</v>
      </c>
      <c r="P18" s="190">
        <v>2.76</v>
      </c>
      <c r="Q18" s="118"/>
    </row>
    <row r="19" spans="2:17" ht="16.5">
      <c r="B19" s="113">
        <f t="shared" si="0"/>
        <v>12</v>
      </c>
      <c r="C19" s="103" t="s">
        <v>213</v>
      </c>
      <c r="D19" s="117" t="s">
        <v>200</v>
      </c>
      <c r="E19" s="189">
        <v>31.878</v>
      </c>
      <c r="F19" s="189">
        <v>31.878</v>
      </c>
      <c r="G19" s="189">
        <v>31.878</v>
      </c>
      <c r="H19" s="189">
        <v>31.878</v>
      </c>
      <c r="I19" s="189">
        <v>31.878</v>
      </c>
      <c r="J19" s="189">
        <v>31.878</v>
      </c>
      <c r="K19" s="189">
        <v>31.878</v>
      </c>
      <c r="L19" s="189">
        <v>31.878</v>
      </c>
      <c r="M19" s="189">
        <v>31.878</v>
      </c>
      <c r="N19" s="189">
        <v>31.878</v>
      </c>
      <c r="O19" s="189">
        <v>31.878</v>
      </c>
      <c r="P19" s="189">
        <v>31.878</v>
      </c>
      <c r="Q19" s="116">
        <v>382.53599999999989</v>
      </c>
    </row>
    <row r="20" spans="2:17">
      <c r="B20" s="113">
        <f t="shared" si="0"/>
        <v>13</v>
      </c>
      <c r="C20" s="103" t="s">
        <v>363</v>
      </c>
      <c r="D20" s="117" t="s">
        <v>199</v>
      </c>
      <c r="E20" s="190">
        <v>3.9710000000000001</v>
      </c>
      <c r="F20" s="190">
        <v>3.81</v>
      </c>
      <c r="G20" s="190">
        <v>4.2169999999999996</v>
      </c>
      <c r="H20" s="190">
        <v>4.18</v>
      </c>
      <c r="I20" s="190">
        <v>4.3940000000000001</v>
      </c>
      <c r="J20" s="190">
        <v>3.996</v>
      </c>
      <c r="K20" s="190">
        <v>4.0869999999999997</v>
      </c>
      <c r="L20" s="190">
        <v>4.1790000000000003</v>
      </c>
      <c r="M20" s="190">
        <v>4.2789999999999999</v>
      </c>
      <c r="N20" s="190">
        <v>4.3</v>
      </c>
      <c r="O20" s="190">
        <v>4.2169999999999996</v>
      </c>
      <c r="P20" s="190">
        <v>4.2530000000000001</v>
      </c>
      <c r="Q20" s="116"/>
    </row>
    <row r="21" spans="2:17" ht="16.5">
      <c r="B21" s="113">
        <f t="shared" si="0"/>
        <v>14</v>
      </c>
      <c r="C21" s="103" t="s">
        <v>196</v>
      </c>
      <c r="D21" s="117" t="s">
        <v>200</v>
      </c>
      <c r="E21" s="189">
        <v>31.877500000000001</v>
      </c>
      <c r="F21" s="189">
        <v>31.877500000000001</v>
      </c>
      <c r="G21" s="189">
        <v>31.877500000000001</v>
      </c>
      <c r="H21" s="189">
        <v>31.877500000000001</v>
      </c>
      <c r="I21" s="189">
        <v>31.877500000000001</v>
      </c>
      <c r="J21" s="189">
        <v>31.877500000000001</v>
      </c>
      <c r="K21" s="189">
        <v>31.877500000000001</v>
      </c>
      <c r="L21" s="189">
        <v>31.877500000000001</v>
      </c>
      <c r="M21" s="189">
        <v>31.877500000000001</v>
      </c>
      <c r="N21" s="189">
        <v>31.877500000000001</v>
      </c>
      <c r="O21" s="189">
        <v>31.877500000000001</v>
      </c>
      <c r="P21" s="189">
        <v>31.877500000000001</v>
      </c>
      <c r="Q21" s="116">
        <v>382.53000000000003</v>
      </c>
    </row>
    <row r="22" spans="2:17">
      <c r="B22" s="113">
        <f t="shared" si="0"/>
        <v>15</v>
      </c>
      <c r="C22" s="103" t="s">
        <v>364</v>
      </c>
      <c r="D22" s="117" t="s">
        <v>200</v>
      </c>
      <c r="E22" s="120">
        <v>71.084476199999997</v>
      </c>
      <c r="F22" s="120">
        <v>68.367311400000006</v>
      </c>
      <c r="G22" s="120">
        <v>74.360099399999996</v>
      </c>
      <c r="H22" s="120">
        <v>71.730012599999995</v>
      </c>
      <c r="I22" s="120">
        <v>69.649648799999994</v>
      </c>
      <c r="J22" s="120">
        <v>72.940783199999998</v>
      </c>
      <c r="K22" s="120">
        <v>74.083202400000005</v>
      </c>
      <c r="L22" s="120">
        <v>72.277237799999995</v>
      </c>
      <c r="M22" s="120">
        <v>71.743370999999996</v>
      </c>
      <c r="N22" s="120">
        <v>72.659001000000004</v>
      </c>
      <c r="O22" s="120">
        <v>66.448090199999996</v>
      </c>
      <c r="P22" s="120">
        <v>70.665135599999999</v>
      </c>
      <c r="Q22" s="116">
        <v>856.00836960000004</v>
      </c>
    </row>
    <row r="23" spans="2:17">
      <c r="B23" s="113">
        <f t="shared" si="0"/>
        <v>16</v>
      </c>
      <c r="C23" s="103" t="s">
        <v>214</v>
      </c>
      <c r="D23" s="117" t="s">
        <v>200</v>
      </c>
      <c r="E23" s="120">
        <v>31.196488580400683</v>
      </c>
      <c r="F23" s="120">
        <v>26.002727479357862</v>
      </c>
      <c r="G23" s="120">
        <v>39.250464094116523</v>
      </c>
      <c r="H23" s="120">
        <v>36.907667649455021</v>
      </c>
      <c r="I23" s="120">
        <v>41.240760604600837</v>
      </c>
      <c r="J23" s="120">
        <v>32.652081560234329</v>
      </c>
      <c r="K23" s="120">
        <v>35.622258351912834</v>
      </c>
      <c r="L23" s="120">
        <v>37.161779323170379</v>
      </c>
      <c r="M23" s="120">
        <v>39.497376081999995</v>
      </c>
      <c r="N23" s="120">
        <v>40.536190706902197</v>
      </c>
      <c r="O23" s="120">
        <v>35.071345299999997</v>
      </c>
      <c r="P23" s="120">
        <v>38.215757458193181</v>
      </c>
      <c r="Q23" s="116">
        <v>433.35489719034388</v>
      </c>
    </row>
    <row r="24" spans="2:17">
      <c r="B24" s="113">
        <f t="shared" si="0"/>
        <v>17</v>
      </c>
      <c r="C24" s="103" t="s">
        <v>197</v>
      </c>
      <c r="D24" s="117" t="s">
        <v>200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16">
        <v>0</v>
      </c>
    </row>
    <row r="25" spans="2:17" ht="15">
      <c r="B25" s="113">
        <f t="shared" si="0"/>
        <v>18</v>
      </c>
      <c r="C25" s="121" t="s">
        <v>150</v>
      </c>
      <c r="D25" s="117" t="s">
        <v>200</v>
      </c>
      <c r="E25" s="120">
        <v>134.15846478040066</v>
      </c>
      <c r="F25" s="120">
        <v>126.24753887935786</v>
      </c>
      <c r="G25" s="120">
        <v>145.48806349411652</v>
      </c>
      <c r="H25" s="120">
        <v>140.515180249455</v>
      </c>
      <c r="I25" s="120">
        <v>142.76790940460083</v>
      </c>
      <c r="J25" s="120">
        <v>137.47036476023433</v>
      </c>
      <c r="K25" s="120">
        <v>141.58296075191282</v>
      </c>
      <c r="L25" s="120">
        <v>141.31651712317037</v>
      </c>
      <c r="M25" s="120">
        <v>143.11824708199998</v>
      </c>
      <c r="N25" s="120">
        <v>145.07269170690219</v>
      </c>
      <c r="O25" s="120">
        <v>133.39693549999998</v>
      </c>
      <c r="P25" s="120">
        <v>140.75839305819318</v>
      </c>
      <c r="Q25" s="116">
        <v>1671.8932667903441</v>
      </c>
    </row>
    <row r="26" spans="2:17" ht="15">
      <c r="B26" s="113">
        <f t="shared" si="0"/>
        <v>19</v>
      </c>
      <c r="C26" s="123" t="s">
        <v>198</v>
      </c>
      <c r="D26" s="117"/>
      <c r="E26" s="120"/>
      <c r="F26" s="115"/>
      <c r="G26" s="115"/>
      <c r="H26" s="115"/>
      <c r="I26" s="115"/>
      <c r="J26" s="115"/>
      <c r="K26" s="115"/>
      <c r="L26" s="115"/>
      <c r="M26" s="116"/>
      <c r="N26" s="116"/>
      <c r="O26" s="116"/>
      <c r="P26" s="116"/>
      <c r="Q26" s="122"/>
    </row>
    <row r="27" spans="2:17" ht="33">
      <c r="B27" s="191" t="s">
        <v>466</v>
      </c>
      <c r="C27" s="192" t="s">
        <v>467</v>
      </c>
      <c r="D27" s="193" t="s">
        <v>200</v>
      </c>
      <c r="E27" s="120"/>
      <c r="F27" s="115"/>
      <c r="G27" s="115"/>
      <c r="H27" s="115"/>
      <c r="I27" s="115"/>
      <c r="J27" s="115"/>
      <c r="K27" s="115"/>
      <c r="L27" s="115"/>
      <c r="M27" s="116"/>
      <c r="N27" s="116"/>
      <c r="O27" s="116"/>
      <c r="P27" s="116"/>
      <c r="Q27" s="194">
        <v>-52.96</v>
      </c>
    </row>
    <row r="28" spans="2:17" ht="33">
      <c r="B28" s="191" t="s">
        <v>466</v>
      </c>
      <c r="C28" s="192" t="s">
        <v>468</v>
      </c>
      <c r="D28" s="193" t="s">
        <v>200</v>
      </c>
      <c r="E28" s="120"/>
      <c r="F28" s="115"/>
      <c r="G28" s="115"/>
      <c r="H28" s="115"/>
      <c r="I28" s="115"/>
      <c r="J28" s="115"/>
      <c r="K28" s="115"/>
      <c r="L28" s="115"/>
      <c r="M28" s="116"/>
      <c r="N28" s="116"/>
      <c r="O28" s="116"/>
      <c r="P28" s="116"/>
      <c r="Q28" s="194">
        <v>0</v>
      </c>
    </row>
    <row r="29" spans="2:17" ht="16.5">
      <c r="B29" s="191" t="s">
        <v>466</v>
      </c>
      <c r="C29" s="192" t="s">
        <v>102</v>
      </c>
      <c r="D29" s="193" t="s">
        <v>200</v>
      </c>
      <c r="E29" s="120"/>
      <c r="F29" s="115"/>
      <c r="G29" s="115"/>
      <c r="H29" s="115"/>
      <c r="I29" s="115"/>
      <c r="J29" s="115"/>
      <c r="K29" s="115"/>
      <c r="L29" s="115"/>
      <c r="M29" s="116"/>
      <c r="N29" s="116"/>
      <c r="O29" s="116"/>
      <c r="P29" s="116"/>
      <c r="Q29" s="194">
        <v>1.74</v>
      </c>
    </row>
    <row r="30" spans="2:17" ht="33">
      <c r="B30" s="191" t="s">
        <v>466</v>
      </c>
      <c r="C30" s="192" t="s">
        <v>481</v>
      </c>
      <c r="D30" s="193" t="s">
        <v>200</v>
      </c>
      <c r="E30" s="120"/>
      <c r="F30" s="115"/>
      <c r="G30" s="115"/>
      <c r="H30" s="115"/>
      <c r="I30" s="115"/>
      <c r="J30" s="115"/>
      <c r="K30" s="115"/>
      <c r="L30" s="115"/>
      <c r="M30" s="116"/>
      <c r="N30" s="116"/>
      <c r="O30" s="116"/>
      <c r="P30" s="116"/>
      <c r="Q30" s="194">
        <v>0</v>
      </c>
    </row>
    <row r="31" spans="2:17" ht="15">
      <c r="B31" s="117">
        <f>B26+1</f>
        <v>20</v>
      </c>
      <c r="C31" s="102" t="s">
        <v>165</v>
      </c>
      <c r="D31" s="117" t="s">
        <v>200</v>
      </c>
      <c r="E31" s="128">
        <v>134.15846478040066</v>
      </c>
      <c r="F31" s="128">
        <v>126.24753887935786</v>
      </c>
      <c r="G31" s="128">
        <v>145.48806349411652</v>
      </c>
      <c r="H31" s="128">
        <v>140.515180249455</v>
      </c>
      <c r="I31" s="128">
        <v>142.76790940460083</v>
      </c>
      <c r="J31" s="128">
        <v>137.47036476023433</v>
      </c>
      <c r="K31" s="128">
        <v>141.58296075191282</v>
      </c>
      <c r="L31" s="128">
        <v>141.31651712317037</v>
      </c>
      <c r="M31" s="128">
        <v>143.11824708199998</v>
      </c>
      <c r="N31" s="128">
        <v>145.07269170690219</v>
      </c>
      <c r="O31" s="128">
        <v>133.39693549999998</v>
      </c>
      <c r="P31" s="128">
        <v>140.75839305819318</v>
      </c>
      <c r="Q31" s="128">
        <v>1620.6732667903441</v>
      </c>
    </row>
    <row r="32" spans="2:17" ht="15">
      <c r="B32" s="117">
        <f>B31+1</f>
        <v>21</v>
      </c>
      <c r="C32" s="102" t="s">
        <v>201</v>
      </c>
      <c r="D32" s="117" t="s">
        <v>200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4"/>
    </row>
  </sheetData>
  <mergeCells count="3">
    <mergeCell ref="B3:Q3"/>
    <mergeCell ref="B4:Q4"/>
    <mergeCell ref="P6:Q6"/>
  </mergeCells>
  <printOptions horizontalCentered="1" verticalCentered="1"/>
  <pageMargins left="0.70866141732283505" right="0.70866141732283505" top="0" bottom="0.74803149606299202" header="0.31496062992126" footer="0.31496062992126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showGridLines="0" view="pageBreakPreview" zoomScale="95" zoomScaleNormal="95" zoomScaleSheetLayoutView="95" workbookViewId="0">
      <selection activeCell="G15" sqref="G15"/>
    </sheetView>
  </sheetViews>
  <sheetFormatPr defaultColWidth="9.28515625" defaultRowHeight="14.25"/>
  <cols>
    <col min="1" max="1" width="3.28515625" style="5" customWidth="1"/>
    <col min="2" max="2" width="5.7109375" style="5" customWidth="1"/>
    <col min="3" max="3" width="20.7109375" style="5" customWidth="1"/>
    <col min="4" max="4" width="11.85546875" style="5" customWidth="1"/>
    <col min="5" max="5" width="11.5703125" style="5" customWidth="1"/>
    <col min="6" max="6" width="11.7109375" style="5" customWidth="1"/>
    <col min="7" max="7" width="10.7109375" style="5" customWidth="1"/>
    <col min="8" max="16384" width="9.28515625" style="5"/>
  </cols>
  <sheetData>
    <row r="1" spans="2:7" ht="15">
      <c r="C1" s="36"/>
      <c r="D1" s="36"/>
      <c r="E1" s="36"/>
      <c r="F1" s="36"/>
      <c r="G1" s="36"/>
    </row>
    <row r="2" spans="2:7" ht="15">
      <c r="B2" s="228" t="s">
        <v>397</v>
      </c>
      <c r="C2" s="228"/>
      <c r="D2" s="228"/>
      <c r="E2" s="228"/>
      <c r="F2" s="228"/>
      <c r="G2" s="228"/>
    </row>
    <row r="3" spans="2:7" ht="15">
      <c r="B3" s="228" t="s">
        <v>400</v>
      </c>
      <c r="C3" s="228"/>
      <c r="D3" s="228"/>
      <c r="E3" s="228"/>
      <c r="F3" s="228"/>
      <c r="G3" s="228"/>
    </row>
    <row r="4" spans="2:7" ht="15">
      <c r="B4" s="228" t="s">
        <v>373</v>
      </c>
      <c r="C4" s="228"/>
      <c r="D4" s="228"/>
      <c r="E4" s="228"/>
      <c r="F4" s="228"/>
      <c r="G4" s="228"/>
    </row>
    <row r="5" spans="2:7" ht="15">
      <c r="B5" s="35"/>
      <c r="C5" s="35"/>
      <c r="D5" s="35"/>
      <c r="E5" s="35"/>
      <c r="F5" s="35"/>
      <c r="G5" s="35"/>
    </row>
    <row r="6" spans="2:7" ht="15">
      <c r="B6" s="242" t="s">
        <v>65</v>
      </c>
      <c r="C6" s="242"/>
      <c r="D6" s="242"/>
      <c r="E6" s="242"/>
      <c r="F6" s="242"/>
      <c r="G6" s="242"/>
    </row>
    <row r="7" spans="2:7">
      <c r="G7" s="211" t="s">
        <v>475</v>
      </c>
    </row>
    <row r="8" spans="2:7" ht="15" customHeight="1">
      <c r="B8" s="243" t="s">
        <v>188</v>
      </c>
      <c r="C8" s="243" t="s">
        <v>15</v>
      </c>
      <c r="D8" s="244" t="s">
        <v>1</v>
      </c>
      <c r="E8" s="239" t="s">
        <v>398</v>
      </c>
      <c r="F8" s="240"/>
      <c r="G8" s="241"/>
    </row>
    <row r="9" spans="2:7" ht="45">
      <c r="B9" s="243"/>
      <c r="C9" s="243"/>
      <c r="D9" s="245"/>
      <c r="E9" s="15" t="s">
        <v>366</v>
      </c>
      <c r="F9" s="15" t="s">
        <v>232</v>
      </c>
      <c r="G9" s="220" t="s">
        <v>203</v>
      </c>
    </row>
    <row r="10" spans="2:7" ht="15">
      <c r="B10" s="243"/>
      <c r="C10" s="243"/>
      <c r="D10" s="246"/>
      <c r="E10" s="15" t="s">
        <v>7</v>
      </c>
      <c r="F10" s="15" t="s">
        <v>9</v>
      </c>
      <c r="G10" s="15" t="s">
        <v>225</v>
      </c>
    </row>
    <row r="11" spans="2:7">
      <c r="B11" s="20">
        <v>1</v>
      </c>
      <c r="C11" s="28" t="s">
        <v>66</v>
      </c>
      <c r="D11" s="28" t="s">
        <v>21</v>
      </c>
      <c r="E11" s="143">
        <v>148.66</v>
      </c>
      <c r="F11" s="161">
        <f>F2.1!D34</f>
        <v>229.22743288973535</v>
      </c>
      <c r="G11" s="161">
        <f>F11</f>
        <v>229.22743288973535</v>
      </c>
    </row>
    <row r="12" spans="2:7">
      <c r="B12" s="20">
        <f>B11+1</f>
        <v>2</v>
      </c>
      <c r="C12" s="37" t="s">
        <v>233</v>
      </c>
      <c r="D12" s="37" t="s">
        <v>22</v>
      </c>
      <c r="E12" s="149">
        <v>12.07</v>
      </c>
      <c r="F12" s="162">
        <f>F2.2!D38</f>
        <v>14.821043151630271</v>
      </c>
      <c r="G12" s="161">
        <f t="shared" ref="G12:G13" si="0">F12</f>
        <v>14.821043151630271</v>
      </c>
    </row>
    <row r="13" spans="2:7">
      <c r="B13" s="20">
        <f>B12+1</f>
        <v>3</v>
      </c>
      <c r="C13" s="28" t="s">
        <v>206</v>
      </c>
      <c r="D13" s="28" t="s">
        <v>262</v>
      </c>
      <c r="E13" s="143">
        <v>37.799999999999997</v>
      </c>
      <c r="F13" s="161">
        <f>F2.3!D18</f>
        <v>28.238205422250417</v>
      </c>
      <c r="G13" s="161">
        <f t="shared" si="0"/>
        <v>28.238205422250417</v>
      </c>
    </row>
    <row r="14" spans="2:7" ht="15">
      <c r="B14" s="20">
        <f>B13+1</f>
        <v>4</v>
      </c>
      <c r="C14" s="28" t="s">
        <v>67</v>
      </c>
      <c r="D14" s="28"/>
      <c r="E14" s="163">
        <v>196.55</v>
      </c>
      <c r="F14" s="163">
        <f>ROUND(SUM(F11:F13),2)</f>
        <v>272.29000000000002</v>
      </c>
      <c r="G14" s="163">
        <f>ROUND(SUM(G11:G13),2)</f>
        <v>272.29000000000002</v>
      </c>
    </row>
    <row r="15" spans="2:7">
      <c r="B15" s="49" t="s">
        <v>234</v>
      </c>
      <c r="C15" s="50"/>
      <c r="D15" s="47"/>
      <c r="E15" s="202"/>
      <c r="F15" s="47"/>
      <c r="G15" s="48"/>
    </row>
    <row r="16" spans="2:7">
      <c r="B16" s="51">
        <v>1</v>
      </c>
      <c r="C16" s="50" t="s">
        <v>235</v>
      </c>
    </row>
  </sheetData>
  <mergeCells count="8">
    <mergeCell ref="B4:G4"/>
    <mergeCell ref="B3:G3"/>
    <mergeCell ref="B2:G2"/>
    <mergeCell ref="B6:G6"/>
    <mergeCell ref="B8:B10"/>
    <mergeCell ref="C8:C10"/>
    <mergeCell ref="E8:G8"/>
    <mergeCell ref="D8:D10"/>
  </mergeCells>
  <pageMargins left="1.2086614170000001" right="0.70866141732283505" top="0" bottom="0.74803149606299202" header="0.31496062992126" footer="0.31496062992126"/>
  <pageSetup paperSize="9" scale="1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42"/>
  <sheetViews>
    <sheetView showGridLines="0" view="pageBreakPreview" topLeftCell="A15" zoomScale="98" zoomScaleNormal="95" zoomScaleSheetLayoutView="98" workbookViewId="0">
      <selection activeCell="L8" sqref="L8"/>
    </sheetView>
  </sheetViews>
  <sheetFormatPr defaultColWidth="9.28515625" defaultRowHeight="14.25"/>
  <cols>
    <col min="1" max="1" width="4.140625" style="13" customWidth="1"/>
    <col min="2" max="2" width="7" style="13" customWidth="1"/>
    <col min="3" max="3" width="46.5703125" style="13" customWidth="1"/>
    <col min="4" max="4" width="12.7109375" style="13" customWidth="1"/>
    <col min="5" max="16384" width="9.28515625" style="13"/>
  </cols>
  <sheetData>
    <row r="1" spans="2:4" ht="14.25" customHeight="1">
      <c r="B1" s="228" t="s">
        <v>397</v>
      </c>
      <c r="C1" s="228"/>
      <c r="D1" s="228"/>
    </row>
    <row r="2" spans="2:4" ht="14.25" customHeight="1">
      <c r="B2" s="228" t="s">
        <v>400</v>
      </c>
      <c r="C2" s="228"/>
      <c r="D2" s="228"/>
    </row>
    <row r="3" spans="2:4" s="4" customFormat="1" ht="14.25" customHeight="1">
      <c r="B3" s="228" t="s">
        <v>263</v>
      </c>
      <c r="C3" s="228"/>
      <c r="D3" s="228"/>
    </row>
    <row r="4" spans="2:4" s="4" customFormat="1" ht="11.25" customHeight="1">
      <c r="C4" s="41"/>
      <c r="D4" s="211" t="s">
        <v>475</v>
      </c>
    </row>
    <row r="5" spans="2:4" ht="12.75" customHeight="1">
      <c r="B5" s="235" t="s">
        <v>2</v>
      </c>
      <c r="C5" s="235" t="s">
        <v>15</v>
      </c>
      <c r="D5" s="15" t="s">
        <v>398</v>
      </c>
    </row>
    <row r="6" spans="2:4" ht="15">
      <c r="B6" s="235"/>
      <c r="C6" s="235"/>
      <c r="D6" s="15" t="s">
        <v>232</v>
      </c>
    </row>
    <row r="7" spans="2:4" ht="18.75" customHeight="1">
      <c r="B7" s="247"/>
      <c r="C7" s="235"/>
      <c r="D7" s="15" t="s">
        <v>9</v>
      </c>
    </row>
    <row r="8" spans="2:4" ht="18" customHeight="1">
      <c r="B8" s="2">
        <v>1</v>
      </c>
      <c r="C8" s="42" t="s">
        <v>70</v>
      </c>
      <c r="D8" s="140">
        <v>121.23179870749709</v>
      </c>
    </row>
    <row r="9" spans="2:4" ht="18" customHeight="1">
      <c r="B9" s="2">
        <v>2</v>
      </c>
      <c r="C9" s="42" t="s">
        <v>71</v>
      </c>
      <c r="D9" s="140">
        <v>10.292793512512507</v>
      </c>
    </row>
    <row r="10" spans="2:4" ht="18" customHeight="1">
      <c r="B10" s="2">
        <v>3</v>
      </c>
      <c r="C10" s="3" t="s">
        <v>72</v>
      </c>
      <c r="D10" s="140">
        <v>9.1299631617798482</v>
      </c>
    </row>
    <row r="11" spans="2:4" ht="18" customHeight="1">
      <c r="B11" s="2">
        <v>4</v>
      </c>
      <c r="C11" s="42" t="s">
        <v>73</v>
      </c>
      <c r="D11" s="140">
        <v>1.2300945676626689</v>
      </c>
    </row>
    <row r="12" spans="2:4" ht="18" customHeight="1">
      <c r="B12" s="2">
        <v>5</v>
      </c>
      <c r="C12" s="42" t="s">
        <v>74</v>
      </c>
      <c r="D12" s="140">
        <v>8.6932818946349106E-4</v>
      </c>
    </row>
    <row r="13" spans="2:4" ht="18" customHeight="1">
      <c r="B13" s="2">
        <v>6</v>
      </c>
      <c r="C13" s="3" t="s">
        <v>75</v>
      </c>
      <c r="D13" s="140">
        <v>19.88</v>
      </c>
    </row>
    <row r="14" spans="2:4" ht="18" customHeight="1">
      <c r="B14" s="2">
        <v>7</v>
      </c>
      <c r="C14" s="42" t="s">
        <v>76</v>
      </c>
      <c r="D14" s="140">
        <v>21.133542844264031</v>
      </c>
    </row>
    <row r="15" spans="2:4" ht="18" customHeight="1">
      <c r="B15" s="2">
        <v>8</v>
      </c>
      <c r="C15" s="42" t="s">
        <v>77</v>
      </c>
      <c r="D15" s="140">
        <v>0.74865565928736855</v>
      </c>
    </row>
    <row r="16" spans="2:4" ht="18" customHeight="1">
      <c r="B16" s="2">
        <v>9</v>
      </c>
      <c r="C16" s="42" t="s">
        <v>78</v>
      </c>
      <c r="D16" s="140">
        <v>0</v>
      </c>
    </row>
    <row r="17" spans="2:4" ht="18" customHeight="1">
      <c r="B17" s="2">
        <v>10</v>
      </c>
      <c r="C17" s="42" t="s">
        <v>79</v>
      </c>
      <c r="D17" s="153">
        <v>0</v>
      </c>
    </row>
    <row r="18" spans="2:4" ht="18" customHeight="1">
      <c r="B18" s="2">
        <v>11</v>
      </c>
      <c r="C18" s="42" t="s">
        <v>80</v>
      </c>
      <c r="D18" s="153">
        <v>8.3783842128149063E-4</v>
      </c>
    </row>
    <row r="19" spans="2:4" ht="18" customHeight="1">
      <c r="B19" s="2">
        <v>12</v>
      </c>
      <c r="C19" s="42" t="s">
        <v>81</v>
      </c>
      <c r="D19" s="153">
        <v>2.2958674494146911</v>
      </c>
    </row>
    <row r="20" spans="2:4" ht="18" customHeight="1">
      <c r="B20" s="2">
        <v>13</v>
      </c>
      <c r="C20" s="42" t="s">
        <v>82</v>
      </c>
      <c r="D20" s="153">
        <v>0</v>
      </c>
    </row>
    <row r="21" spans="2:4" ht="18" customHeight="1">
      <c r="B21" s="2">
        <v>14</v>
      </c>
      <c r="C21" s="42" t="s">
        <v>83</v>
      </c>
      <c r="D21" s="153">
        <v>0</v>
      </c>
    </row>
    <row r="22" spans="2:4" ht="18" customHeight="1">
      <c r="B22" s="2">
        <v>15</v>
      </c>
      <c r="C22" s="42" t="s">
        <v>84</v>
      </c>
      <c r="D22" s="140">
        <v>0</v>
      </c>
    </row>
    <row r="23" spans="2:4" ht="18" customHeight="1">
      <c r="B23" s="2">
        <v>16</v>
      </c>
      <c r="C23" s="42" t="s">
        <v>85</v>
      </c>
      <c r="D23" s="154">
        <v>0</v>
      </c>
    </row>
    <row r="24" spans="2:4" ht="18" customHeight="1">
      <c r="B24" s="2">
        <v>17</v>
      </c>
      <c r="C24" s="42" t="s">
        <v>86</v>
      </c>
      <c r="D24" s="155">
        <f>SUM(D8:D23)</f>
        <v>185.94442306902894</v>
      </c>
    </row>
    <row r="25" spans="2:4" ht="18" customHeight="1">
      <c r="B25" s="2">
        <v>18</v>
      </c>
      <c r="C25" s="42" t="s">
        <v>87</v>
      </c>
      <c r="D25" s="154">
        <v>0</v>
      </c>
    </row>
    <row r="26" spans="2:4" ht="18" customHeight="1">
      <c r="B26" s="2">
        <f>+B25+0.1</f>
        <v>18.100000000000001</v>
      </c>
      <c r="C26" s="42" t="s">
        <v>88</v>
      </c>
      <c r="D26" s="154">
        <v>12.553009820706416</v>
      </c>
    </row>
    <row r="27" spans="2:4" ht="18" customHeight="1">
      <c r="B27" s="2">
        <f>+B26+0.1</f>
        <v>18.200000000000003</v>
      </c>
      <c r="C27" s="42" t="s">
        <v>89</v>
      </c>
      <c r="D27" s="154">
        <v>0</v>
      </c>
    </row>
    <row r="28" spans="2:4" ht="18" customHeight="1">
      <c r="B28" s="2">
        <f>+B27+0.1</f>
        <v>18.300000000000004</v>
      </c>
      <c r="C28" s="42" t="s">
        <v>90</v>
      </c>
      <c r="D28" s="154">
        <v>0</v>
      </c>
    </row>
    <row r="29" spans="2:4" ht="18" customHeight="1">
      <c r="B29" s="2">
        <f>+B28+0.1</f>
        <v>18.400000000000006</v>
      </c>
      <c r="C29" s="42" t="s">
        <v>91</v>
      </c>
      <c r="D29" s="140">
        <v>30.73</v>
      </c>
    </row>
    <row r="30" spans="2:4" ht="18" customHeight="1">
      <c r="B30" s="2">
        <v>19</v>
      </c>
      <c r="C30" s="46" t="s">
        <v>389</v>
      </c>
      <c r="D30" s="140">
        <v>0</v>
      </c>
    </row>
    <row r="31" spans="2:4" ht="18" customHeight="1">
      <c r="B31" s="2">
        <v>20</v>
      </c>
      <c r="C31" s="42" t="s">
        <v>92</v>
      </c>
      <c r="D31" s="140">
        <v>0</v>
      </c>
    </row>
    <row r="32" spans="2:4" ht="18" customHeight="1">
      <c r="B32" s="14">
        <v>21</v>
      </c>
      <c r="C32" s="43" t="s">
        <v>93</v>
      </c>
      <c r="D32" s="142">
        <f>SUM(D24:D31)</f>
        <v>229.22743288973535</v>
      </c>
    </row>
    <row r="33" spans="2:4" ht="18" customHeight="1">
      <c r="B33" s="2">
        <v>22</v>
      </c>
      <c r="C33" s="42" t="s">
        <v>14</v>
      </c>
      <c r="D33" s="140">
        <v>0</v>
      </c>
    </row>
    <row r="34" spans="2:4" ht="18" customHeight="1">
      <c r="B34" s="14">
        <v>23</v>
      </c>
      <c r="C34" s="19" t="s">
        <v>94</v>
      </c>
      <c r="D34" s="129">
        <f>D32-D33</f>
        <v>229.22743288973535</v>
      </c>
    </row>
    <row r="35" spans="2:4" ht="18" customHeight="1">
      <c r="B35" s="33"/>
      <c r="D35" s="207"/>
    </row>
    <row r="36" spans="2:4" ht="18" customHeight="1">
      <c r="B36" s="33"/>
      <c r="D36" s="208"/>
    </row>
    <row r="37" spans="2:4" ht="18" customHeight="1">
      <c r="B37" s="33"/>
      <c r="D37" s="207"/>
    </row>
    <row r="38" spans="2:4" ht="18" customHeight="1">
      <c r="B38" s="33"/>
      <c r="C38" s="36"/>
      <c r="D38" s="207"/>
    </row>
    <row r="39" spans="2:4" ht="18" customHeight="1">
      <c r="B39" s="33"/>
      <c r="C39" s="36"/>
      <c r="D39" s="207"/>
    </row>
    <row r="40" spans="2:4" ht="5.25" customHeight="1"/>
    <row r="41" spans="2:4" ht="27.75" customHeight="1">
      <c r="B41" s="44"/>
      <c r="D41" s="164"/>
    </row>
    <row r="42" spans="2:4">
      <c r="B42" s="45"/>
    </row>
  </sheetData>
  <mergeCells count="5">
    <mergeCell ref="B1:D1"/>
    <mergeCell ref="B2:D2"/>
    <mergeCell ref="B3:D3"/>
    <mergeCell ref="B5:B7"/>
    <mergeCell ref="C5:C7"/>
  </mergeCells>
  <printOptions horizontalCentered="1" verticalCentered="1"/>
  <pageMargins left="0.70866141732283505" right="0.70866141732283505" top="0" bottom="0" header="0.31496062992126" footer="0.31496062992126"/>
  <pageSetup paperSize="9" scale="99" orientation="landscape" r:id="rId1"/>
  <rowBreaks count="1" manualBreakCount="1">
    <brk id="40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38"/>
  <sheetViews>
    <sheetView showGridLines="0" view="pageBreakPreview" topLeftCell="A11" zoomScale="96" zoomScaleSheetLayoutView="96" workbookViewId="0">
      <selection activeCell="N9" sqref="N9"/>
    </sheetView>
  </sheetViews>
  <sheetFormatPr defaultColWidth="9.28515625" defaultRowHeight="14.25"/>
  <cols>
    <col min="1" max="1" width="2" style="13" customWidth="1"/>
    <col min="2" max="2" width="7" style="13" customWidth="1"/>
    <col min="3" max="3" width="50.28515625" style="13" customWidth="1"/>
    <col min="4" max="4" width="15.7109375" style="13" customWidth="1"/>
    <col min="5" max="16384" width="9.28515625" style="13"/>
  </cols>
  <sheetData>
    <row r="1" spans="2:4" ht="14.25" customHeight="1">
      <c r="B1" s="228" t="s">
        <v>397</v>
      </c>
      <c r="C1" s="228"/>
      <c r="D1" s="228"/>
    </row>
    <row r="2" spans="2:4" ht="14.25" customHeight="1">
      <c r="B2" s="228" t="s">
        <v>400</v>
      </c>
      <c r="C2" s="228"/>
      <c r="D2" s="228"/>
    </row>
    <row r="3" spans="2:4" s="4" customFormat="1" ht="15">
      <c r="B3" s="228" t="s">
        <v>401</v>
      </c>
      <c r="C3" s="228"/>
      <c r="D3" s="228"/>
    </row>
    <row r="4" spans="2:4">
      <c r="D4" s="211" t="s">
        <v>475</v>
      </c>
    </row>
    <row r="5" spans="2:4" ht="12.75" customHeight="1">
      <c r="B5" s="237" t="s">
        <v>188</v>
      </c>
      <c r="C5" s="235" t="s">
        <v>15</v>
      </c>
      <c r="D5" s="15" t="s">
        <v>398</v>
      </c>
    </row>
    <row r="6" spans="2:4" ht="15">
      <c r="B6" s="237"/>
      <c r="C6" s="235"/>
      <c r="D6" s="15" t="s">
        <v>232</v>
      </c>
    </row>
    <row r="7" spans="2:4" ht="15" customHeight="1">
      <c r="B7" s="237"/>
      <c r="C7" s="235"/>
      <c r="D7" s="15" t="s">
        <v>9</v>
      </c>
    </row>
    <row r="8" spans="2:4">
      <c r="B8" s="3">
        <v>1</v>
      </c>
      <c r="C8" s="52" t="s">
        <v>95</v>
      </c>
      <c r="D8" s="140">
        <v>2.0765693106718341</v>
      </c>
    </row>
    <row r="9" spans="2:4">
      <c r="B9" s="3">
        <v>2</v>
      </c>
      <c r="C9" s="53" t="s">
        <v>96</v>
      </c>
      <c r="D9" s="140">
        <v>2.6478724990662426</v>
      </c>
    </row>
    <row r="10" spans="2:4">
      <c r="B10" s="3">
        <v>3</v>
      </c>
      <c r="C10" s="53" t="s">
        <v>97</v>
      </c>
      <c r="D10" s="140">
        <v>0.13879866864520468</v>
      </c>
    </row>
    <row r="11" spans="2:4">
      <c r="B11" s="3">
        <v>4</v>
      </c>
      <c r="C11" s="53" t="s">
        <v>98</v>
      </c>
      <c r="D11" s="140">
        <v>8.8456600043791606E-2</v>
      </c>
    </row>
    <row r="12" spans="2:4">
      <c r="B12" s="3">
        <v>5</v>
      </c>
      <c r="C12" s="53" t="s">
        <v>99</v>
      </c>
      <c r="D12" s="140">
        <v>4.2651298096298376E-2</v>
      </c>
    </row>
    <row r="13" spans="2:4">
      <c r="B13" s="3">
        <v>6</v>
      </c>
      <c r="C13" s="53" t="s">
        <v>100</v>
      </c>
      <c r="D13" s="140">
        <v>6.6430954764495176E-2</v>
      </c>
    </row>
    <row r="14" spans="2:4">
      <c r="B14" s="3">
        <v>7</v>
      </c>
      <c r="C14" s="53" t="s">
        <v>101</v>
      </c>
      <c r="D14" s="140">
        <v>0.79181015099918894</v>
      </c>
    </row>
    <row r="15" spans="2:4">
      <c r="B15" s="3">
        <v>8</v>
      </c>
      <c r="C15" s="53" t="s">
        <v>102</v>
      </c>
      <c r="D15" s="140">
        <v>1.6927220342746474E-3</v>
      </c>
    </row>
    <row r="16" spans="2:4">
      <c r="B16" s="3">
        <v>9</v>
      </c>
      <c r="C16" s="53" t="s">
        <v>103</v>
      </c>
      <c r="D16" s="140">
        <v>6.3946341657378891</v>
      </c>
    </row>
    <row r="17" spans="2:4">
      <c r="B17" s="3">
        <v>10</v>
      </c>
      <c r="C17" s="53" t="s">
        <v>104</v>
      </c>
      <c r="D17" s="140">
        <v>1.9575020577432517E-2</v>
      </c>
    </row>
    <row r="18" spans="2:4">
      <c r="B18" s="3">
        <v>11</v>
      </c>
      <c r="C18" s="53" t="s">
        <v>105</v>
      </c>
      <c r="D18" s="140">
        <v>1.3012340137480995E-3</v>
      </c>
    </row>
    <row r="19" spans="2:4">
      <c r="B19" s="3">
        <v>12</v>
      </c>
      <c r="C19" s="53" t="s">
        <v>106</v>
      </c>
      <c r="D19" s="140">
        <v>0</v>
      </c>
    </row>
    <row r="20" spans="2:4">
      <c r="B20" s="3">
        <v>13</v>
      </c>
      <c r="C20" s="53" t="s">
        <v>107</v>
      </c>
      <c r="D20" s="140">
        <v>5.501038942185818E-2</v>
      </c>
    </row>
    <row r="21" spans="2:4">
      <c r="B21" s="3">
        <v>14</v>
      </c>
      <c r="C21" s="53" t="s">
        <v>108</v>
      </c>
      <c r="D21" s="140">
        <v>8.2203982398215331E-2</v>
      </c>
    </row>
    <row r="22" spans="2:4">
      <c r="B22" s="3">
        <v>15</v>
      </c>
      <c r="C22" s="53" t="s">
        <v>109</v>
      </c>
      <c r="D22" s="140">
        <v>0</v>
      </c>
    </row>
    <row r="23" spans="2:4">
      <c r="B23" s="3">
        <v>16</v>
      </c>
      <c r="C23" s="52" t="s">
        <v>110</v>
      </c>
      <c r="D23" s="140">
        <v>0</v>
      </c>
    </row>
    <row r="24" spans="2:4">
      <c r="B24" s="3">
        <v>17</v>
      </c>
      <c r="C24" s="52" t="s">
        <v>111</v>
      </c>
      <c r="D24" s="140">
        <v>0</v>
      </c>
    </row>
    <row r="25" spans="2:4">
      <c r="B25" s="3">
        <v>18</v>
      </c>
      <c r="C25" s="53" t="s">
        <v>112</v>
      </c>
      <c r="D25" s="140">
        <v>0.10576607466063659</v>
      </c>
    </row>
    <row r="26" spans="2:4">
      <c r="B26" s="3">
        <v>19</v>
      </c>
      <c r="C26" s="53" t="s">
        <v>113</v>
      </c>
      <c r="D26" s="140">
        <v>1.3922674480395063</v>
      </c>
    </row>
    <row r="27" spans="2:4">
      <c r="B27" s="3">
        <v>20</v>
      </c>
      <c r="C27" s="53" t="s">
        <v>114</v>
      </c>
      <c r="D27" s="140">
        <v>0</v>
      </c>
    </row>
    <row r="28" spans="2:4">
      <c r="B28" s="3">
        <v>21</v>
      </c>
      <c r="C28" s="53" t="s">
        <v>115</v>
      </c>
      <c r="D28" s="140">
        <v>0</v>
      </c>
    </row>
    <row r="29" spans="2:4">
      <c r="B29" s="3">
        <v>22</v>
      </c>
      <c r="C29" s="53" t="s">
        <v>116</v>
      </c>
      <c r="D29" s="140">
        <v>3.5342955000000002E-2</v>
      </c>
    </row>
    <row r="30" spans="2:4">
      <c r="B30" s="3">
        <v>23</v>
      </c>
      <c r="C30" s="53" t="s">
        <v>117</v>
      </c>
      <c r="D30" s="140">
        <v>0</v>
      </c>
    </row>
    <row r="31" spans="2:4">
      <c r="B31" s="3">
        <v>24</v>
      </c>
      <c r="C31" s="53" t="s">
        <v>118</v>
      </c>
      <c r="D31" s="140">
        <v>5.2208955778180056E-2</v>
      </c>
    </row>
    <row r="32" spans="2:4">
      <c r="B32" s="3">
        <v>25</v>
      </c>
      <c r="C32" s="53" t="s">
        <v>119</v>
      </c>
      <c r="D32" s="140">
        <v>0</v>
      </c>
    </row>
    <row r="33" spans="2:4">
      <c r="B33" s="3">
        <v>26</v>
      </c>
      <c r="C33" s="53" t="s">
        <v>120</v>
      </c>
      <c r="D33" s="140">
        <v>0</v>
      </c>
    </row>
    <row r="34" spans="2:4">
      <c r="B34" s="3">
        <v>27</v>
      </c>
      <c r="C34" s="53" t="s">
        <v>121</v>
      </c>
      <c r="D34" s="140">
        <v>0</v>
      </c>
    </row>
    <row r="35" spans="2:4">
      <c r="B35" s="3">
        <v>28</v>
      </c>
      <c r="C35" s="53" t="s">
        <v>92</v>
      </c>
      <c r="D35" s="140">
        <v>0.82845072168147449</v>
      </c>
    </row>
    <row r="36" spans="2:4" ht="15">
      <c r="B36" s="3">
        <v>29</v>
      </c>
      <c r="C36" s="54" t="s">
        <v>122</v>
      </c>
      <c r="D36" s="129">
        <f>SUM(D8:D35)</f>
        <v>14.821043151630271</v>
      </c>
    </row>
    <row r="37" spans="2:4">
      <c r="B37" s="3">
        <v>30</v>
      </c>
      <c r="C37" s="42" t="s">
        <v>14</v>
      </c>
      <c r="D37" s="140"/>
    </row>
    <row r="38" spans="2:4" ht="15">
      <c r="B38" s="3">
        <v>31</v>
      </c>
      <c r="C38" s="19" t="s">
        <v>123</v>
      </c>
      <c r="D38" s="129">
        <f>D36-D37</f>
        <v>14.821043151630271</v>
      </c>
    </row>
  </sheetData>
  <mergeCells count="5">
    <mergeCell ref="B1:D1"/>
    <mergeCell ref="B5:B7"/>
    <mergeCell ref="C5:C7"/>
    <mergeCell ref="B3:D3"/>
    <mergeCell ref="B2:D2"/>
  </mergeCells>
  <printOptions horizontalCentered="1" verticalCentered="1"/>
  <pageMargins left="0.70866141732283505" right="0.70866141732283505" top="0" bottom="0.74803149606299202" header="0.31496062992126" footer="0.31496062992126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22"/>
  <sheetViews>
    <sheetView showGridLines="0" view="pageBreakPreview" zoomScale="90" zoomScaleNormal="98" zoomScaleSheetLayoutView="90" workbookViewId="0">
      <selection activeCell="E1" sqref="E1:H1048576"/>
    </sheetView>
  </sheetViews>
  <sheetFormatPr defaultColWidth="9.28515625" defaultRowHeight="14.25"/>
  <cols>
    <col min="1" max="1" width="4.5703125" style="13" customWidth="1"/>
    <col min="2" max="2" width="8.7109375" style="55" customWidth="1"/>
    <col min="3" max="3" width="45.7109375" style="13" customWidth="1"/>
    <col min="4" max="4" width="15.7109375" style="13" customWidth="1"/>
    <col min="5" max="16384" width="9.28515625" style="13"/>
  </cols>
  <sheetData>
    <row r="2" spans="2:4" ht="14.25" customHeight="1">
      <c r="B2" s="228" t="s">
        <v>397</v>
      </c>
      <c r="C2" s="228"/>
      <c r="D2" s="228"/>
    </row>
    <row r="3" spans="2:4" ht="14.25" customHeight="1">
      <c r="B3" s="228" t="s">
        <v>400</v>
      </c>
      <c r="C3" s="228"/>
      <c r="D3" s="228"/>
    </row>
    <row r="4" spans="2:4" s="4" customFormat="1" ht="14.25" customHeight="1">
      <c r="B4" s="228" t="s">
        <v>264</v>
      </c>
      <c r="C4" s="228"/>
      <c r="D4" s="228"/>
    </row>
    <row r="6" spans="2:4">
      <c r="D6" s="211" t="s">
        <v>475</v>
      </c>
    </row>
    <row r="7" spans="2:4" ht="12.75" customHeight="1">
      <c r="B7" s="237" t="s">
        <v>188</v>
      </c>
      <c r="C7" s="235" t="s">
        <v>15</v>
      </c>
      <c r="D7" s="15" t="s">
        <v>398</v>
      </c>
    </row>
    <row r="8" spans="2:4" ht="15">
      <c r="B8" s="237"/>
      <c r="C8" s="235"/>
      <c r="D8" s="15" t="s">
        <v>232</v>
      </c>
    </row>
    <row r="9" spans="2:4" ht="24" customHeight="1">
      <c r="B9" s="237"/>
      <c r="C9" s="235"/>
      <c r="D9" s="15" t="s">
        <v>9</v>
      </c>
    </row>
    <row r="10" spans="2:4">
      <c r="B10" s="2">
        <v>1</v>
      </c>
      <c r="C10" s="53" t="s">
        <v>124</v>
      </c>
      <c r="D10" s="140">
        <v>23.909043994171562</v>
      </c>
    </row>
    <row r="11" spans="2:4">
      <c r="B11" s="2">
        <v>2</v>
      </c>
      <c r="C11" s="53" t="s">
        <v>125</v>
      </c>
      <c r="D11" s="140">
        <v>0</v>
      </c>
    </row>
    <row r="12" spans="2:4">
      <c r="B12" s="2">
        <v>3</v>
      </c>
      <c r="C12" s="53" t="s">
        <v>126</v>
      </c>
      <c r="D12" s="140">
        <v>3.2336190425048477</v>
      </c>
    </row>
    <row r="13" spans="2:4">
      <c r="B13" s="2">
        <v>4</v>
      </c>
      <c r="C13" s="53" t="s">
        <v>127</v>
      </c>
      <c r="D13" s="140">
        <v>0</v>
      </c>
    </row>
    <row r="14" spans="2:4">
      <c r="B14" s="2">
        <v>5</v>
      </c>
      <c r="C14" s="53" t="s">
        <v>128</v>
      </c>
      <c r="D14" s="140">
        <v>0.83092809942162693</v>
      </c>
    </row>
    <row r="15" spans="2:4">
      <c r="B15" s="2">
        <v>6</v>
      </c>
      <c r="C15" s="53" t="s">
        <v>129</v>
      </c>
      <c r="D15" s="140">
        <v>1.7776719783823624E-2</v>
      </c>
    </row>
    <row r="16" spans="2:4">
      <c r="B16" s="2">
        <v>7</v>
      </c>
      <c r="C16" s="53" t="s">
        <v>130</v>
      </c>
      <c r="D16" s="140">
        <v>0</v>
      </c>
    </row>
    <row r="17" spans="2:4">
      <c r="B17" s="2">
        <v>8</v>
      </c>
      <c r="C17" s="53" t="s">
        <v>131</v>
      </c>
      <c r="D17" s="140">
        <v>0.24683756636855575</v>
      </c>
    </row>
    <row r="18" spans="2:4" ht="15">
      <c r="B18" s="2">
        <v>9</v>
      </c>
      <c r="C18" s="54" t="s">
        <v>132</v>
      </c>
      <c r="D18" s="129">
        <f>SUM(D10:D17)</f>
        <v>28.238205422250417</v>
      </c>
    </row>
    <row r="19" spans="2:4">
      <c r="B19" s="2"/>
      <c r="C19" s="52"/>
      <c r="D19" s="3"/>
    </row>
    <row r="20" spans="2:4" ht="15">
      <c r="B20" s="2">
        <v>10</v>
      </c>
      <c r="C20" s="56" t="s">
        <v>133</v>
      </c>
      <c r="D20" s="129">
        <f>'F4'!F22</f>
        <v>2269.87</v>
      </c>
    </row>
    <row r="21" spans="2:4" ht="28.5">
      <c r="B21" s="2">
        <v>11</v>
      </c>
      <c r="C21" s="56" t="s">
        <v>134</v>
      </c>
      <c r="D21" s="141">
        <f>IFERROR(D18/D20,0)</f>
        <v>1.244045052018416E-2</v>
      </c>
    </row>
    <row r="22" spans="2:4">
      <c r="B22" s="2"/>
      <c r="C22" s="52"/>
      <c r="D22" s="3"/>
    </row>
  </sheetData>
  <mergeCells count="5">
    <mergeCell ref="B7:B9"/>
    <mergeCell ref="C7:C9"/>
    <mergeCell ref="B2:D2"/>
    <mergeCell ref="B3:D3"/>
    <mergeCell ref="B4:D4"/>
  </mergeCells>
  <printOptions horizontalCentered="1" verticalCentered="1"/>
  <pageMargins left="0.20866141699999999" right="0.20866141699999999" top="0" bottom="0.24803149599999999" header="0.31496062992126" footer="0.31496062992126"/>
  <pageSetup paperSize="9" scale="12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6"/>
  <sheetViews>
    <sheetView view="pageBreakPreview" zoomScale="90" zoomScaleNormal="118" zoomScaleSheetLayoutView="90" workbookViewId="0">
      <selection activeCell="M23" sqref="M2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1.7109375" style="4" bestFit="1" customWidth="1"/>
    <col min="8" max="16384" width="9.28515625" style="4"/>
  </cols>
  <sheetData>
    <row r="1" spans="2:6" ht="15">
      <c r="B1" s="57"/>
    </row>
    <row r="2" spans="2:6" ht="14.25" customHeight="1">
      <c r="B2" s="228" t="s">
        <v>397</v>
      </c>
      <c r="C2" s="228"/>
      <c r="D2" s="228"/>
      <c r="E2" s="228"/>
      <c r="F2" s="228"/>
    </row>
    <row r="3" spans="2:6" ht="14.25" customHeight="1">
      <c r="B3" s="228" t="s">
        <v>400</v>
      </c>
      <c r="C3" s="228"/>
      <c r="D3" s="228"/>
      <c r="E3" s="228"/>
      <c r="F3" s="228"/>
    </row>
    <row r="4" spans="2:6" ht="14.25" customHeight="1">
      <c r="B4" s="228" t="s">
        <v>265</v>
      </c>
      <c r="C4" s="228"/>
      <c r="D4" s="228"/>
      <c r="E4" s="228"/>
      <c r="F4" s="228"/>
    </row>
    <row r="5" spans="2:6" ht="15">
      <c r="B5" s="36"/>
      <c r="C5" s="58"/>
      <c r="D5" s="58"/>
      <c r="E5" s="58"/>
      <c r="F5" s="58"/>
    </row>
    <row r="6" spans="2:6">
      <c r="F6" s="211" t="s">
        <v>475</v>
      </c>
    </row>
    <row r="7" spans="2:6" s="13" customFormat="1" ht="15" customHeight="1">
      <c r="B7" s="232" t="s">
        <v>188</v>
      </c>
      <c r="C7" s="235" t="s">
        <v>15</v>
      </c>
      <c r="D7" s="239" t="s">
        <v>398</v>
      </c>
      <c r="E7" s="240"/>
      <c r="F7" s="241"/>
    </row>
    <row r="8" spans="2:6" s="13" customFormat="1" ht="45">
      <c r="B8" s="233"/>
      <c r="C8" s="235"/>
      <c r="D8" s="15" t="s">
        <v>366</v>
      </c>
      <c r="E8" s="15" t="s">
        <v>232</v>
      </c>
      <c r="F8" s="15" t="s">
        <v>203</v>
      </c>
    </row>
    <row r="9" spans="2:6" s="13" customFormat="1" ht="15">
      <c r="B9" s="234"/>
      <c r="C9" s="236"/>
      <c r="D9" s="15" t="s">
        <v>7</v>
      </c>
      <c r="E9" s="15" t="s">
        <v>9</v>
      </c>
      <c r="F9" s="15" t="s">
        <v>225</v>
      </c>
    </row>
    <row r="10" spans="2:6" s="5" customFormat="1">
      <c r="B10" s="60">
        <v>1</v>
      </c>
      <c r="C10" s="26" t="s">
        <v>236</v>
      </c>
      <c r="D10" s="2"/>
      <c r="E10" s="26"/>
      <c r="F10" s="26"/>
    </row>
    <row r="11" spans="2:6" s="5" customFormat="1">
      <c r="B11" s="20">
        <v>2</v>
      </c>
      <c r="C11" s="26" t="s">
        <v>268</v>
      </c>
      <c r="D11" s="2"/>
      <c r="E11" s="125">
        <f>F3.1!G12</f>
        <v>0.17</v>
      </c>
      <c r="F11" s="125">
        <f>E11</f>
        <v>0.17</v>
      </c>
    </row>
    <row r="12" spans="2:6" s="5" customFormat="1" ht="15">
      <c r="B12" s="20">
        <v>3</v>
      </c>
      <c r="C12" s="28" t="s">
        <v>220</v>
      </c>
      <c r="D12" s="138"/>
      <c r="E12" s="144">
        <f>F3.1!H12</f>
        <v>0.17</v>
      </c>
      <c r="F12" s="144">
        <f>E12</f>
        <v>0.17</v>
      </c>
    </row>
    <row r="13" spans="2:6" s="5" customFormat="1" ht="15">
      <c r="B13" s="20">
        <v>4</v>
      </c>
      <c r="C13" s="26" t="s">
        <v>237</v>
      </c>
      <c r="D13" s="139">
        <f t="shared" ref="D13:F13" si="0">D10+D11-D12</f>
        <v>0</v>
      </c>
      <c r="E13" s="139">
        <f t="shared" si="0"/>
        <v>0</v>
      </c>
      <c r="F13" s="139">
        <f t="shared" si="0"/>
        <v>0</v>
      </c>
    </row>
    <row r="14" spans="2:6" s="32" customFormat="1" ht="15">
      <c r="B14" s="61"/>
      <c r="C14" s="49"/>
      <c r="D14" s="59"/>
      <c r="E14" s="59"/>
      <c r="F14" s="59"/>
    </row>
    <row r="16" spans="2:6">
      <c r="B16" s="62"/>
    </row>
  </sheetData>
  <mergeCells count="6">
    <mergeCell ref="B4:F4"/>
    <mergeCell ref="B3:F3"/>
    <mergeCell ref="B2:F2"/>
    <mergeCell ref="B7:B9"/>
    <mergeCell ref="C7:C9"/>
    <mergeCell ref="D7:F7"/>
  </mergeCells>
  <pageMargins left="1.2086614170000001" right="0.20866141699999999" top="0.5" bottom="0.24803149599999999" header="0.31496062992126" footer="0.31496062992126"/>
  <pageSetup paperSize="9" scale="1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3"/>
  <sheetViews>
    <sheetView showGridLines="0" view="pageBreakPreview" zoomScale="90" zoomScaleNormal="106" zoomScaleSheetLayoutView="90" workbookViewId="0">
      <selection activeCell="M23" sqref="M2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3.85546875" style="5" customWidth="1"/>
    <col min="4" max="4" width="21.28515625" style="5" customWidth="1"/>
    <col min="5" max="5" width="21.7109375" style="5" customWidth="1"/>
    <col min="6" max="7" width="22" style="5" customWidth="1"/>
    <col min="8" max="8" width="17.7109375" style="5" customWidth="1"/>
    <col min="9" max="9" width="24.28515625" style="5" customWidth="1"/>
    <col min="10" max="10" width="15.42578125" style="5" customWidth="1"/>
    <col min="11" max="11" width="37" style="5" customWidth="1"/>
    <col min="12" max="12" width="13" style="5" customWidth="1"/>
    <col min="13" max="13" width="13.28515625" style="5" bestFit="1" customWidth="1"/>
    <col min="14" max="16384" width="9.28515625" style="5"/>
  </cols>
  <sheetData>
    <row r="1" spans="2:13" ht="15">
      <c r="B1" s="24"/>
    </row>
    <row r="2" spans="2:13" ht="15">
      <c r="B2" s="228" t="s">
        <v>397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2:13" ht="15">
      <c r="B3" s="228" t="s">
        <v>400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</row>
    <row r="4" spans="2:13" ht="15">
      <c r="B4" s="228" t="s">
        <v>266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</row>
    <row r="5" spans="2:13" ht="15">
      <c r="K5" s="35"/>
      <c r="L5" s="211" t="s">
        <v>475</v>
      </c>
    </row>
    <row r="6" spans="2:13" ht="75">
      <c r="B6" s="15" t="s">
        <v>188</v>
      </c>
      <c r="C6" s="23" t="s">
        <v>238</v>
      </c>
      <c r="D6" s="30" t="s">
        <v>240</v>
      </c>
      <c r="E6" s="23" t="s">
        <v>239</v>
      </c>
      <c r="F6" s="30" t="s">
        <v>242</v>
      </c>
      <c r="G6" s="30" t="s">
        <v>245</v>
      </c>
      <c r="H6" s="30" t="s">
        <v>246</v>
      </c>
      <c r="I6" s="30" t="s">
        <v>259</v>
      </c>
      <c r="J6" s="23" t="s">
        <v>241</v>
      </c>
      <c r="K6" s="30" t="s">
        <v>247</v>
      </c>
      <c r="L6" s="30" t="s">
        <v>181</v>
      </c>
      <c r="M6" s="25"/>
    </row>
    <row r="7" spans="2:13" s="32" customFormat="1" ht="15">
      <c r="B7" s="20"/>
      <c r="C7" s="30" t="s">
        <v>398</v>
      </c>
      <c r="D7" s="29"/>
      <c r="E7" s="29"/>
      <c r="F7" s="29"/>
      <c r="G7" s="29"/>
      <c r="H7" s="29"/>
      <c r="I7" s="29"/>
      <c r="J7" s="29"/>
      <c r="K7" s="30"/>
      <c r="L7" s="31"/>
      <c r="M7" s="24"/>
    </row>
    <row r="8" spans="2:13">
      <c r="B8" s="20">
        <v>1</v>
      </c>
      <c r="C8" s="20"/>
      <c r="D8" s="26"/>
      <c r="E8" s="26" t="s">
        <v>406</v>
      </c>
      <c r="F8" s="137"/>
      <c r="G8" s="137">
        <v>7.1980000000000002E-2</v>
      </c>
      <c r="H8" s="137">
        <v>7.1980000000000002E-2</v>
      </c>
      <c r="I8" s="26" t="s">
        <v>406</v>
      </c>
      <c r="J8" s="26"/>
      <c r="K8" s="26"/>
      <c r="L8" s="26"/>
    </row>
    <row r="9" spans="2:13">
      <c r="B9" s="20">
        <v>2</v>
      </c>
      <c r="C9" s="20"/>
      <c r="D9" s="26"/>
      <c r="E9" s="26" t="s">
        <v>407</v>
      </c>
      <c r="F9" s="137"/>
      <c r="G9" s="137">
        <v>1.0698588E-2</v>
      </c>
      <c r="H9" s="137">
        <v>1.0698588E-2</v>
      </c>
      <c r="I9" s="26" t="s">
        <v>407</v>
      </c>
      <c r="J9" s="26"/>
      <c r="K9" s="26"/>
      <c r="L9" s="26"/>
    </row>
    <row r="10" spans="2:13">
      <c r="B10" s="20">
        <v>3</v>
      </c>
      <c r="C10" s="20"/>
      <c r="D10" s="26"/>
      <c r="E10" s="137"/>
      <c r="F10" s="137"/>
      <c r="G10" s="137">
        <v>0.09</v>
      </c>
      <c r="H10" s="137">
        <v>0.09</v>
      </c>
      <c r="I10" s="26"/>
      <c r="J10" s="26"/>
      <c r="K10" s="26"/>
      <c r="L10" s="26"/>
    </row>
    <row r="11" spans="2:13">
      <c r="B11" s="26"/>
      <c r="C11" s="26" t="s">
        <v>6</v>
      </c>
      <c r="D11" s="26"/>
      <c r="E11" s="26"/>
      <c r="F11" s="26"/>
      <c r="G11" s="26"/>
      <c r="H11" s="26"/>
      <c r="I11" s="26"/>
      <c r="J11" s="26"/>
      <c r="K11" s="26"/>
      <c r="L11" s="26"/>
    </row>
    <row r="12" spans="2:13" ht="15">
      <c r="B12" s="26"/>
      <c r="C12" s="23" t="s">
        <v>136</v>
      </c>
      <c r="D12" s="147"/>
      <c r="E12" s="137"/>
      <c r="F12" s="130">
        <f>SUM(F8:F11)</f>
        <v>0</v>
      </c>
      <c r="G12" s="130">
        <f>ROUND(SUM(G8:G11),2)</f>
        <v>0.17</v>
      </c>
      <c r="H12" s="130">
        <f>ROUND(SUM(H8:H11),2)</f>
        <v>0.17</v>
      </c>
      <c r="I12" s="26"/>
      <c r="J12" s="26"/>
      <c r="K12" s="26"/>
      <c r="L12" s="26"/>
    </row>
    <row r="13" spans="2:13">
      <c r="B13" s="61" t="s">
        <v>243</v>
      </c>
      <c r="C13" s="50" t="s">
        <v>244</v>
      </c>
    </row>
  </sheetData>
  <mergeCells count="3">
    <mergeCell ref="B2:L2"/>
    <mergeCell ref="B3:L3"/>
    <mergeCell ref="B4:L4"/>
  </mergeCells>
  <pageMargins left="0" right="0" top="0.5" bottom="0.24803149599999999" header="0.31496062992126" footer="0.31496062992126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F21"/>
  <sheetViews>
    <sheetView showGridLines="0" view="pageBreakPreview" zoomScaleSheetLayoutView="100" workbookViewId="0">
      <selection activeCell="M23" sqref="M23"/>
    </sheetView>
  </sheetViews>
  <sheetFormatPr defaultColWidth="9.28515625" defaultRowHeight="14.25"/>
  <cols>
    <col min="1" max="2" width="9.28515625" style="97"/>
    <col min="3" max="3" width="42" style="97" customWidth="1"/>
    <col min="4" max="4" width="16.28515625" style="97" customWidth="1"/>
    <col min="5" max="16384" width="9.28515625" style="97"/>
  </cols>
  <sheetData>
    <row r="2" spans="2:6" ht="14.25" customHeight="1">
      <c r="B2" s="228" t="s">
        <v>397</v>
      </c>
      <c r="C2" s="228"/>
      <c r="D2" s="228"/>
    </row>
    <row r="3" spans="2:6" ht="14.25" customHeight="1">
      <c r="B3" s="228" t="s">
        <v>400</v>
      </c>
      <c r="C3" s="228"/>
      <c r="D3" s="228"/>
    </row>
    <row r="4" spans="2:6" ht="14.25" customHeight="1">
      <c r="B4" s="228" t="s">
        <v>293</v>
      </c>
      <c r="C4" s="228"/>
      <c r="D4" s="228"/>
      <c r="E4" s="32"/>
      <c r="F4" s="32"/>
    </row>
    <row r="5" spans="2:6">
      <c r="D5" s="211" t="s">
        <v>475</v>
      </c>
    </row>
    <row r="6" spans="2:6" ht="15" customHeight="1">
      <c r="B6" s="237" t="s">
        <v>188</v>
      </c>
      <c r="C6" s="248" t="s">
        <v>15</v>
      </c>
      <c r="D6" s="237" t="s">
        <v>398</v>
      </c>
    </row>
    <row r="7" spans="2:6">
      <c r="B7" s="237"/>
      <c r="C7" s="248"/>
      <c r="D7" s="237"/>
    </row>
    <row r="8" spans="2:6" ht="15">
      <c r="B8" s="237"/>
      <c r="C8" s="248"/>
      <c r="D8" s="100" t="s">
        <v>3</v>
      </c>
    </row>
    <row r="9" spans="2:6" ht="15">
      <c r="B9" s="101">
        <v>1</v>
      </c>
      <c r="C9" s="27" t="s">
        <v>294</v>
      </c>
      <c r="D9" s="127">
        <f>F3.1!H12</f>
        <v>0.17</v>
      </c>
    </row>
    <row r="10" spans="2:6">
      <c r="B10" s="27"/>
      <c r="C10" s="27"/>
      <c r="D10" s="116"/>
    </row>
    <row r="11" spans="2:6" ht="15">
      <c r="B11" s="101">
        <v>2</v>
      </c>
      <c r="C11" s="102" t="s">
        <v>182</v>
      </c>
      <c r="D11" s="116"/>
    </row>
    <row r="12" spans="2:6">
      <c r="B12" s="27"/>
      <c r="C12" s="27" t="s">
        <v>187</v>
      </c>
      <c r="D12" s="116"/>
    </row>
    <row r="13" spans="2:6">
      <c r="B13" s="27"/>
      <c r="C13" s="27" t="s">
        <v>186</v>
      </c>
      <c r="D13" s="116"/>
    </row>
    <row r="14" spans="2:6">
      <c r="B14" s="27"/>
      <c r="C14" s="27" t="s">
        <v>6</v>
      </c>
      <c r="D14" s="116"/>
    </row>
    <row r="15" spans="2:6" ht="15">
      <c r="B15" s="27"/>
      <c r="C15" s="102" t="s">
        <v>180</v>
      </c>
      <c r="D15" s="127">
        <f>SUM(D12:D14)</f>
        <v>0</v>
      </c>
    </row>
    <row r="16" spans="2:6">
      <c r="B16" s="27"/>
      <c r="C16" s="27"/>
      <c r="D16" s="116"/>
    </row>
    <row r="17" spans="2:4">
      <c r="B17" s="101">
        <v>3</v>
      </c>
      <c r="C17" s="27" t="s">
        <v>0</v>
      </c>
      <c r="D17" s="116"/>
    </row>
    <row r="18" spans="2:4">
      <c r="B18" s="101">
        <v>4</v>
      </c>
      <c r="C18" s="27" t="s">
        <v>183</v>
      </c>
      <c r="D18" s="116">
        <f>D9</f>
        <v>0.17</v>
      </c>
    </row>
    <row r="19" spans="2:4">
      <c r="B19" s="101">
        <v>5</v>
      </c>
      <c r="C19" s="27" t="s">
        <v>295</v>
      </c>
      <c r="D19" s="116"/>
    </row>
    <row r="20" spans="2:4" ht="15">
      <c r="B20" s="27"/>
      <c r="C20" s="27"/>
      <c r="D20" s="122"/>
    </row>
    <row r="21" spans="2:4" ht="15">
      <c r="B21" s="101">
        <v>6</v>
      </c>
      <c r="C21" s="102" t="s">
        <v>296</v>
      </c>
      <c r="D21" s="127">
        <f>D15+D17+D18+D19</f>
        <v>0.17</v>
      </c>
    </row>
  </sheetData>
  <mergeCells count="6">
    <mergeCell ref="B2:D2"/>
    <mergeCell ref="B3:D3"/>
    <mergeCell ref="D6:D7"/>
    <mergeCell ref="B6:B8"/>
    <mergeCell ref="C6:C8"/>
    <mergeCell ref="B4:D4"/>
  </mergeCells>
  <pageMargins left="0.70866141699999996" right="0.20866141699999999" top="0.5" bottom="0.49803149600000002" header="0.31496062992126" footer="0.31496062992126"/>
  <pageSetup paperSize="9" scale="1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4</vt:i4>
      </vt:variant>
    </vt:vector>
  </HeadingPairs>
  <TitlesOfParts>
    <vt:vector size="25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  <vt:lpstr>'F6'!Print_Area</vt:lpstr>
      <vt:lpstr>'F7'!Print_Area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2025-06-20T07:16:57Z</cp:lastPrinted>
  <dcterms:created xsi:type="dcterms:W3CDTF">2004-07-28T05:30:50Z</dcterms:created>
  <dcterms:modified xsi:type="dcterms:W3CDTF">2025-06-20T10:52:54Z</dcterms:modified>
</cp:coreProperties>
</file>