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G:\1 RAC frm 20-21\APR 4th MYT\APR 2023-24\Transmission ATP 25-26\Additional Info\Drafts\Updated 1.1ds\"/>
    </mc:Choice>
  </mc:AlternateContent>
  <bookViews>
    <workbookView xWindow="0" yWindow="0" windowWidth="20460" windowHeight="7590" tabRatio="809" activeTab="5"/>
  </bookViews>
  <sheets>
    <sheet name="CapEx-23-24" sheetId="28" r:id="rId1"/>
    <sheet name="Caplzn 23-24" sheetId="18" r:id="rId2"/>
    <sheet name="CapEx 25-26" sheetId="20" r:id="rId3"/>
    <sheet name="CpX-Lis 23-24" sheetId="19" r:id="rId4"/>
    <sheet name="Caplzn-Lis" sheetId="29" r:id="rId5"/>
    <sheet name="CapEx-Lis 25-26" sheetId="30" r:id="rId6"/>
  </sheets>
  <definedNames>
    <definedName name="_xlnm._FilterDatabase" localSheetId="2" hidden="1">'CapEx 25-26'!$A$7:$AB$53</definedName>
    <definedName name="_xlnm._FilterDatabase" localSheetId="0" hidden="1">'CapEx-23-24'!$A$8:$AD$35</definedName>
    <definedName name="_xlnm.Print_Area" localSheetId="2">'CapEx 25-26'!$A$1:$Z$36</definedName>
    <definedName name="_xlnm.Print_Area" localSheetId="0">'CapEx-23-24'!$A$1:$U$33</definedName>
    <definedName name="_xlnm.Print_Area" localSheetId="5">'CapEx-Lis 25-26'!$A$1:$Z$20</definedName>
    <definedName name="_xlnm.Print_Area" localSheetId="1">'Caplzn 23-24'!$A$1:$AD$28</definedName>
    <definedName name="_xlnm.Print_Area" localSheetId="4">'Caplzn-Lis'!$A$1:$AD$16</definedName>
    <definedName name="_xlnm.Print_Area" localSheetId="3">'CpX-Lis 23-24'!$A$1:$U$13</definedName>
    <definedName name="_xlnm.Print_Titles" localSheetId="2">'CapEx 25-26'!$5:$7</definedName>
    <definedName name="_xlnm.Print_Titles" localSheetId="0">'CapEx-23-24'!$6:$8</definedName>
    <definedName name="_xlnm.Print_Titles" localSheetId="1">'Caplzn 23-24'!$6:$9</definedName>
    <definedName name="_xlnm.Print_Titles" localSheetId="3">'CpX-Lis 23-24'!$6:$8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1" i="20" l="1"/>
  <c r="T24" i="20"/>
  <c r="S24" i="20"/>
  <c r="R24" i="20"/>
  <c r="S14" i="30"/>
  <c r="R14" i="30"/>
  <c r="T14" i="30"/>
  <c r="Q10" i="30"/>
  <c r="Q18" i="30" s="1"/>
  <c r="Q29" i="20"/>
  <c r="Y29" i="20"/>
  <c r="Q26" i="20"/>
  <c r="R27" i="20"/>
  <c r="T27" i="20" s="1"/>
  <c r="Y27" i="20" s="1"/>
  <c r="Q12" i="20"/>
  <c r="K12" i="20"/>
  <c r="Q10" i="20"/>
  <c r="K10" i="20"/>
  <c r="Q9" i="20"/>
  <c r="J9" i="20"/>
  <c r="K9" i="20" s="1"/>
  <c r="Q17" i="20"/>
  <c r="T9" i="30"/>
  <c r="T10" i="30" s="1"/>
  <c r="T18" i="30" s="1"/>
  <c r="Q11" i="20"/>
  <c r="Q18" i="20"/>
  <c r="Q16" i="20"/>
  <c r="Q14" i="20"/>
  <c r="Q13" i="20"/>
  <c r="Q15" i="20"/>
  <c r="X19" i="20"/>
  <c r="W19" i="20"/>
  <c r="V19" i="20"/>
  <c r="T26" i="20"/>
  <c r="R17" i="20"/>
  <c r="T17" i="20" s="1"/>
  <c r="Y17" i="20" s="1"/>
  <c r="R16" i="20"/>
  <c r="J16" i="20"/>
  <c r="K16" i="20" s="1"/>
  <c r="R15" i="20"/>
  <c r="T15" i="20" s="1"/>
  <c r="J15" i="20"/>
  <c r="K15" i="20" s="1"/>
  <c r="R13" i="20"/>
  <c r="S13" i="20" s="1"/>
  <c r="J13" i="20"/>
  <c r="K13" i="20" s="1"/>
  <c r="R11" i="20"/>
  <c r="T11" i="20" s="1"/>
  <c r="J11" i="20"/>
  <c r="K11" i="20" s="1"/>
  <c r="T31" i="20" l="1"/>
  <c r="Q31" i="20"/>
  <c r="R31" i="20"/>
  <c r="U15" i="20"/>
  <c r="U19" i="20" s="1"/>
  <c r="Q19" i="20"/>
  <c r="T13" i="20"/>
  <c r="Q32" i="20" l="1"/>
  <c r="U28" i="20" l="1"/>
  <c r="U21" i="20"/>
  <c r="V21" i="20" s="1"/>
  <c r="U23" i="20"/>
  <c r="U22" i="20"/>
  <c r="V28" i="20"/>
  <c r="W28" i="20" l="1"/>
  <c r="V23" i="20"/>
  <c r="W23" i="20" s="1"/>
  <c r="V22" i="20"/>
  <c r="W22" i="20" s="1"/>
  <c r="V30" i="20"/>
  <c r="V31" i="20" s="1"/>
  <c r="U30" i="20"/>
  <c r="U31" i="20" s="1"/>
  <c r="W30" i="20" l="1"/>
  <c r="Y30" i="20" s="1"/>
  <c r="Y21" i="20"/>
  <c r="X31" i="20" l="1"/>
  <c r="X24" i="20"/>
  <c r="X32" i="20" s="1"/>
  <c r="W24" i="20"/>
  <c r="Q24" i="20"/>
  <c r="Y23" i="20"/>
  <c r="AB14" i="20"/>
  <c r="T12" i="29"/>
  <c r="T11" i="29"/>
  <c r="T14" i="29" s="1"/>
  <c r="X19" i="18"/>
  <c r="X26" i="18" s="1"/>
  <c r="AA15" i="18"/>
  <c r="Y22" i="20" l="1"/>
  <c r="Y24" i="20" s="1"/>
  <c r="U24" i="20"/>
  <c r="V24" i="20"/>
  <c r="U18" i="18"/>
  <c r="V18" i="18" s="1"/>
  <c r="U17" i="18"/>
  <c r="V17" i="18"/>
  <c r="T24" i="18"/>
  <c r="T23" i="18"/>
  <c r="T25" i="18" s="1"/>
  <c r="X28" i="28"/>
  <c r="Y28" i="28" s="1"/>
  <c r="R29" i="28"/>
  <c r="R28" i="28"/>
  <c r="U24" i="18" s="1"/>
  <c r="Y29" i="28"/>
  <c r="R27" i="28"/>
  <c r="S27" i="28" s="1"/>
  <c r="W27" i="28"/>
  <c r="X27" i="28"/>
  <c r="Y16" i="28"/>
  <c r="W21" i="28"/>
  <c r="Y21" i="28" s="1"/>
  <c r="W20" i="28"/>
  <c r="Y20" i="28" s="1"/>
  <c r="W19" i="28"/>
  <c r="W15" i="28"/>
  <c r="W10" i="28"/>
  <c r="W22" i="28" s="1"/>
  <c r="U23" i="18" l="1"/>
  <c r="U25" i="18" s="1"/>
  <c r="Y28" i="20"/>
  <c r="Y31" i="20" s="1"/>
  <c r="Y32" i="20" s="1"/>
  <c r="W31" i="20"/>
  <c r="W32" i="20" s="1"/>
  <c r="Y27" i="28"/>
  <c r="T27" i="28" s="1"/>
  <c r="X19" i="28"/>
  <c r="Y19" i="28" s="1"/>
  <c r="X18" i="28"/>
  <c r="Y18" i="28" s="1"/>
  <c r="X17" i="28"/>
  <c r="Y17" i="28" s="1"/>
  <c r="X15" i="28"/>
  <c r="Y15" i="28" s="1"/>
  <c r="X14" i="28"/>
  <c r="Y14" i="28" s="1"/>
  <c r="X13" i="28"/>
  <c r="Y13" i="28" s="1"/>
  <c r="X12" i="28"/>
  <c r="Y12" i="28" s="1"/>
  <c r="X11" i="28"/>
  <c r="Y11" i="28" s="1"/>
  <c r="X10" i="28"/>
  <c r="Y10" i="28" s="1"/>
  <c r="Y22" i="28" l="1"/>
  <c r="X22" i="28"/>
  <c r="X14" i="30" l="1"/>
  <c r="X18" i="30" s="1"/>
  <c r="W14" i="30"/>
  <c r="W18" i="30" s="1"/>
  <c r="U13" i="30"/>
  <c r="V13" i="30" s="1"/>
  <c r="V12" i="30"/>
  <c r="U12" i="30"/>
  <c r="Y12" i="30" s="1"/>
  <c r="V14" i="30" l="1"/>
  <c r="V18" i="30" s="1"/>
  <c r="U14" i="30"/>
  <c r="U18" i="30" s="1"/>
  <c r="Y13" i="30"/>
  <c r="Y14" i="30" s="1"/>
  <c r="Y18" i="30" s="1"/>
  <c r="V32" i="20" l="1"/>
  <c r="U32" i="20" l="1"/>
  <c r="S10" i="30"/>
  <c r="U10" i="30"/>
  <c r="V10" i="30"/>
  <c r="R10" i="30"/>
  <c r="S18" i="30" l="1"/>
  <c r="R18" i="30"/>
  <c r="R33" i="30"/>
  <c r="J33" i="30"/>
  <c r="K33" i="30" s="1"/>
  <c r="J53" i="20"/>
  <c r="K53" i="20" s="1"/>
  <c r="R53" i="20"/>
  <c r="S29" i="28" l="1"/>
  <c r="S28" i="28"/>
  <c r="T28" i="28" s="1"/>
  <c r="S30" i="28" l="1"/>
  <c r="V12" i="29"/>
  <c r="U12" i="29"/>
  <c r="V11" i="29"/>
  <c r="U11" i="29"/>
  <c r="U14" i="29" s="1"/>
  <c r="V14" i="29" l="1"/>
  <c r="Q10" i="19"/>
  <c r="S10" i="19" s="1"/>
  <c r="R9" i="19"/>
  <c r="S9" i="19" s="1"/>
  <c r="S11" i="19" l="1"/>
  <c r="T9" i="19"/>
  <c r="Y9" i="30"/>
  <c r="Y10" i="30" s="1"/>
  <c r="T10" i="19"/>
  <c r="Q30" i="28"/>
  <c r="R30" i="28"/>
  <c r="R21" i="28"/>
  <c r="S21" i="28" s="1"/>
  <c r="R20" i="28"/>
  <c r="Q20" i="28"/>
  <c r="I20" i="28"/>
  <c r="J20" i="28" s="1"/>
  <c r="R19" i="28"/>
  <c r="Q19" i="28"/>
  <c r="I19" i="28"/>
  <c r="J19" i="28" s="1"/>
  <c r="R18" i="28"/>
  <c r="S18" i="28" s="1"/>
  <c r="T18" i="28" s="1"/>
  <c r="R17" i="28"/>
  <c r="Q17" i="28"/>
  <c r="I17" i="28"/>
  <c r="J17" i="28" s="1"/>
  <c r="R16" i="28"/>
  <c r="Q16" i="28"/>
  <c r="I16" i="28"/>
  <c r="J16" i="28" s="1"/>
  <c r="R15" i="28"/>
  <c r="Q15" i="28"/>
  <c r="I15" i="28"/>
  <c r="J15" i="28" s="1"/>
  <c r="Q14" i="28"/>
  <c r="S14" i="28" s="1"/>
  <c r="J14" i="28"/>
  <c r="R13" i="28"/>
  <c r="S13" i="28" s="1"/>
  <c r="I13" i="28"/>
  <c r="J13" i="28" s="1"/>
  <c r="Q12" i="28"/>
  <c r="S12" i="28" s="1"/>
  <c r="T12" i="28" s="1"/>
  <c r="J12" i="28"/>
  <c r="Q11" i="28"/>
  <c r="S11" i="28" s="1"/>
  <c r="J11" i="28"/>
  <c r="R10" i="28"/>
  <c r="Q10" i="28"/>
  <c r="I10" i="28"/>
  <c r="J10" i="28" s="1"/>
  <c r="Y12" i="20" l="1"/>
  <c r="T14" i="28"/>
  <c r="Y10" i="20"/>
  <c r="T11" i="28"/>
  <c r="Q22" i="28"/>
  <c r="Q31" i="28" s="1"/>
  <c r="S10" i="28"/>
  <c r="Y11" i="20"/>
  <c r="T13" i="28"/>
  <c r="R22" i="28"/>
  <c r="R31" i="28" s="1"/>
  <c r="S15" i="28"/>
  <c r="S16" i="28"/>
  <c r="T16" i="28" s="1"/>
  <c r="S17" i="28"/>
  <c r="S19" i="28"/>
  <c r="T19" i="28" s="1"/>
  <c r="S20" i="28"/>
  <c r="Y15" i="20" l="1"/>
  <c r="T17" i="28"/>
  <c r="S16" i="20"/>
  <c r="T16" i="20" s="1"/>
  <c r="Y16" i="20" s="1"/>
  <c r="T20" i="28"/>
  <c r="Y13" i="20"/>
  <c r="T15" i="28"/>
  <c r="Y9" i="20"/>
  <c r="T10" i="28"/>
  <c r="S22" i="28"/>
  <c r="S31" i="28" s="1"/>
  <c r="R50" i="20" l="1"/>
  <c r="R14" i="20"/>
  <c r="R51" i="20"/>
  <c r="R49" i="20"/>
  <c r="R18" i="20"/>
  <c r="R48" i="20"/>
  <c r="J50" i="20"/>
  <c r="K50" i="20" s="1"/>
  <c r="J14" i="20"/>
  <c r="K14" i="20" s="1"/>
  <c r="J49" i="20"/>
  <c r="K49" i="20" s="1"/>
  <c r="J18" i="20"/>
  <c r="K18" i="20" s="1"/>
  <c r="J48" i="20"/>
  <c r="K48" i="20" s="1"/>
  <c r="R19" i="20" l="1"/>
  <c r="R32" i="20" s="1"/>
  <c r="S18" i="20"/>
  <c r="S19" i="20" s="1"/>
  <c r="T14" i="20"/>
  <c r="Y14" i="20" s="1"/>
  <c r="V24" i="18"/>
  <c r="V23" i="18"/>
  <c r="V16" i="18"/>
  <c r="U16" i="18"/>
  <c r="V15" i="18"/>
  <c r="U15" i="18"/>
  <c r="T15" i="18"/>
  <c r="V14" i="18"/>
  <c r="U14" i="18"/>
  <c r="T14" i="18"/>
  <c r="V13" i="18"/>
  <c r="U13" i="18"/>
  <c r="T13" i="18"/>
  <c r="V12" i="18"/>
  <c r="U12" i="18"/>
  <c r="T12" i="18"/>
  <c r="V11" i="18"/>
  <c r="U11" i="18"/>
  <c r="T11" i="18"/>
  <c r="T19" i="18" l="1"/>
  <c r="T26" i="18" s="1"/>
  <c r="U19" i="18"/>
  <c r="U26" i="18" s="1"/>
  <c r="S32" i="20"/>
  <c r="T18" i="20"/>
  <c r="T19" i="20" s="1"/>
  <c r="T32" i="20" s="1"/>
  <c r="V25" i="18"/>
  <c r="V19" i="18"/>
  <c r="Y18" i="20" l="1"/>
  <c r="V26" i="18"/>
  <c r="AA16" i="18"/>
  <c r="Z16" i="18"/>
  <c r="O16" i="18"/>
  <c r="P16" i="18" s="1"/>
  <c r="Z15" i="18"/>
  <c r="Y15" i="18"/>
  <c r="Y19" i="18" s="1"/>
  <c r="Y26" i="18" s="1"/>
  <c r="P15" i="18"/>
  <c r="AA14" i="18"/>
  <c r="AA19" i="18" s="1"/>
  <c r="AA26" i="18" s="1"/>
  <c r="O14" i="18"/>
  <c r="P14" i="18" s="1"/>
  <c r="O13" i="18"/>
  <c r="P13" i="18" s="1"/>
  <c r="O12" i="18"/>
  <c r="P12" i="18" s="1"/>
  <c r="O11" i="18"/>
  <c r="P11" i="18" s="1"/>
  <c r="Z19" i="18" l="1"/>
  <c r="Z26" i="18" s="1"/>
  <c r="R11" i="19"/>
  <c r="Q11" i="19"/>
</calcChain>
</file>

<file path=xl/comments1.xml><?xml version="1.0" encoding="utf-8"?>
<comments xmlns="http://schemas.openxmlformats.org/spreadsheetml/2006/main">
  <authors>
    <author>DELL</author>
  </authors>
  <commentList>
    <comment ref="I13" authorId="0" shapeId="0">
      <text>
        <r>
          <rPr>
            <b/>
            <sz val="9"/>
            <color indexed="81"/>
            <rFont val="Tahoma"/>
            <family val="2"/>
          </rPr>
          <t>DELL:</t>
        </r>
        <r>
          <rPr>
            <sz val="9"/>
            <color indexed="81"/>
            <rFont val="Tahoma"/>
            <family val="2"/>
          </rPr>
          <t xml:space="preserve">
</t>
        </r>
        <r>
          <rPr>
            <sz val="12"/>
            <color indexed="81"/>
            <rFont val="Tahoma"/>
            <family val="2"/>
          </rPr>
          <t>Excluding IDC of
Rs.100.08 Crore
Total incl. IDC Rs.1279.05</t>
        </r>
      </text>
    </comment>
  </commentList>
</comments>
</file>

<file path=xl/comments2.xml><?xml version="1.0" encoding="utf-8"?>
<comments xmlns="http://schemas.openxmlformats.org/spreadsheetml/2006/main">
  <authors>
    <author>DELL</author>
  </authors>
  <commentList>
    <comment ref="O12" authorId="0" shapeId="0">
      <text>
        <r>
          <rPr>
            <b/>
            <sz val="9"/>
            <color indexed="81"/>
            <rFont val="Tahoma"/>
            <family val="2"/>
          </rPr>
          <t>DELL:</t>
        </r>
        <r>
          <rPr>
            <sz val="9"/>
            <color indexed="81"/>
            <rFont val="Tahoma"/>
            <family val="2"/>
          </rPr>
          <t xml:space="preserve">
</t>
        </r>
        <r>
          <rPr>
            <sz val="12"/>
            <color indexed="81"/>
            <rFont val="Tahoma"/>
            <family val="2"/>
          </rPr>
          <t>Excluding IDC of
Rs.100.08 Crore
Total incl. IDC Rs.1279.05</t>
        </r>
      </text>
    </comment>
    <comment ref="AA15" authorId="0" shapeId="0">
      <text>
        <r>
          <rPr>
            <b/>
            <sz val="12"/>
            <color indexed="81"/>
            <rFont val="Tahoma"/>
            <family val="2"/>
          </rPr>
          <t>Dindi - 2 bays
CTPL - 220kV -3
Ctpl - 132kV - 6</t>
        </r>
      </text>
    </comment>
  </commentList>
</comments>
</file>

<file path=xl/comments3.xml><?xml version="1.0" encoding="utf-8"?>
<comments xmlns="http://schemas.openxmlformats.org/spreadsheetml/2006/main">
  <authors>
    <author>DELL</author>
  </authors>
  <commentList>
    <comment ref="J11" authorId="0" shapeId="0">
      <text>
        <r>
          <rPr>
            <b/>
            <sz val="9"/>
            <color indexed="81"/>
            <rFont val="Tahoma"/>
            <family val="2"/>
          </rPr>
          <t>DELL:</t>
        </r>
        <r>
          <rPr>
            <sz val="9"/>
            <color indexed="81"/>
            <rFont val="Tahoma"/>
            <family val="2"/>
          </rPr>
          <t xml:space="preserve">
</t>
        </r>
        <r>
          <rPr>
            <sz val="12"/>
            <color indexed="81"/>
            <rFont val="Tahoma"/>
            <family val="2"/>
          </rPr>
          <t>Excluding IDC of
Rs.100.08 Crore
Total incl. IDC Rs.1279.05</t>
        </r>
      </text>
    </comment>
    <comment ref="J53" authorId="0" shapeId="0">
      <text>
        <r>
          <rPr>
            <b/>
            <sz val="9"/>
            <color indexed="81"/>
            <rFont val="Tahoma"/>
            <family val="2"/>
          </rPr>
          <t>DELL:</t>
        </r>
        <r>
          <rPr>
            <sz val="9"/>
            <color indexed="81"/>
            <rFont val="Tahoma"/>
            <family val="2"/>
          </rPr>
          <t xml:space="preserve">
</t>
        </r>
        <r>
          <rPr>
            <sz val="12"/>
            <color indexed="81"/>
            <rFont val="Tahoma"/>
            <family val="2"/>
          </rPr>
          <t>Excluding IDC of
Rs.100.08 Crore
Total incl. IDC Rs.1279.05</t>
        </r>
      </text>
    </comment>
  </commentList>
</comments>
</file>

<file path=xl/comments4.xml><?xml version="1.0" encoding="utf-8"?>
<comments xmlns="http://schemas.openxmlformats.org/spreadsheetml/2006/main">
  <authors>
    <author>DELL</author>
  </authors>
  <commentList>
    <comment ref="J33" authorId="0" shapeId="0">
      <text>
        <r>
          <rPr>
            <b/>
            <sz val="9"/>
            <color indexed="81"/>
            <rFont val="Tahoma"/>
            <family val="2"/>
          </rPr>
          <t>DELL:</t>
        </r>
        <r>
          <rPr>
            <sz val="9"/>
            <color indexed="81"/>
            <rFont val="Tahoma"/>
            <family val="2"/>
          </rPr>
          <t xml:space="preserve">
</t>
        </r>
        <r>
          <rPr>
            <sz val="12"/>
            <color indexed="81"/>
            <rFont val="Tahoma"/>
            <family val="2"/>
          </rPr>
          <t>Excluding IDC of
Rs.100.08 Crore
Total incl. IDC Rs.1279.05</t>
        </r>
      </text>
    </comment>
  </commentList>
</comments>
</file>

<file path=xl/sharedStrings.xml><?xml version="1.0" encoding="utf-8"?>
<sst xmlns="http://schemas.openxmlformats.org/spreadsheetml/2006/main" count="1088" uniqueCount="363">
  <si>
    <t>2026-27</t>
  </si>
  <si>
    <t>2027-28</t>
  </si>
  <si>
    <t>2028-29</t>
  </si>
  <si>
    <t>Lines (CKM)</t>
  </si>
  <si>
    <t>CWIP O.B.</t>
  </si>
  <si>
    <t>Voltage Level</t>
  </si>
  <si>
    <t>DOC</t>
  </si>
  <si>
    <t>(Figures in Rs Crore)</t>
  </si>
  <si>
    <t>Start Date</t>
  </si>
  <si>
    <t>Completion Date
(Charging date)</t>
  </si>
  <si>
    <t>Approved Cost as per Investment Approval</t>
  </si>
  <si>
    <t>Loan Source</t>
  </si>
  <si>
    <t>Date of Capitalization</t>
  </si>
  <si>
    <t>Schedule</t>
  </si>
  <si>
    <t>Actual</t>
  </si>
  <si>
    <t>Grants, if any</t>
  </si>
  <si>
    <t>Project Purpose
(SI/SE/SR/GE)</t>
  </si>
  <si>
    <t>(figures in Crores)</t>
  </si>
  <si>
    <t>Loan Amount</t>
  </si>
  <si>
    <t>Capitalisation claimed for the Current year
(2023-24)</t>
  </si>
  <si>
    <t>Sl 
No.</t>
  </si>
  <si>
    <t>Loan source</t>
  </si>
  <si>
    <t>% Capatalisation</t>
  </si>
  <si>
    <t>Project Title (SAP Project title)</t>
  </si>
  <si>
    <t>Project Purpose (SI/SE/SR/GE)</t>
  </si>
  <si>
    <t>Administrative Approval TOO Ref.</t>
  </si>
  <si>
    <t>TGERC Investment Approval Ref.</t>
  </si>
  <si>
    <t>Source of funds</t>
  </si>
  <si>
    <t>Opening CWIP as on 31.03.2023</t>
  </si>
  <si>
    <t>Cumulative expenditure upto 31.03.2024</t>
  </si>
  <si>
    <t>Project Code (SAP Code) / Scheme IDs</t>
  </si>
  <si>
    <t>Proposed Project Start Date  
DD-MM-YY</t>
  </si>
  <si>
    <t>Proposed Project Completion Date 
DD-MM-YY</t>
  </si>
  <si>
    <t>Actual Expenditure from 01.04.2023 to 31.03.2024</t>
  </si>
  <si>
    <t xml:space="preserve">Project Title (SAP Project title) 
</t>
  </si>
  <si>
    <t>Remarks / Balance works , if any.</t>
  </si>
  <si>
    <t>Total approved Cost (in Cr)</t>
  </si>
  <si>
    <t>Present Status of work</t>
  </si>
  <si>
    <t>Transco Funds</t>
  </si>
  <si>
    <t>Source of Funds</t>
  </si>
  <si>
    <t>Work Period</t>
  </si>
  <si>
    <t>Investment Approval No. with Date</t>
  </si>
  <si>
    <t>Physical Completion Certificate Nos.</t>
  </si>
  <si>
    <t>Financial Completion Certificate Nos.</t>
  </si>
  <si>
    <t>Note : Project Purpose : System Improvement (SI), System Expansion (SE), System Replacements (SR)/ RMI, Generation Evacuation (GE)</t>
  </si>
  <si>
    <t>Additions to Network</t>
  </si>
  <si>
    <t>Remarks / Reasons for Cost &amp; Time overruns (if any)</t>
  </si>
  <si>
    <t>TRANSMISSION CORPORATION OF TELANGANA LIMITED</t>
  </si>
  <si>
    <t>SRPC approval no with date (if any)</t>
  </si>
  <si>
    <t xml:space="preserve">Capitalisation Upto Previous Year (n-1)
(as per Audited Financial
Statements)
</t>
  </si>
  <si>
    <t>Project Code  / Scheme ID
(SAP Code)</t>
  </si>
  <si>
    <t>TGTransco Funds</t>
  </si>
  <si>
    <t>TGTransco funds</t>
  </si>
  <si>
    <t>Total TGERC approved Cost (in Cr)</t>
  </si>
  <si>
    <t xml:space="preserve">Project Code / Scheme ID (SAP Code) </t>
  </si>
  <si>
    <t>The statement to be printed on A3 size sheets please</t>
  </si>
  <si>
    <t>Annual Petition for 2024-25 for Transmission Business filed with TGERC</t>
  </si>
  <si>
    <t xml:space="preserve">Scheme-wise details of Capital Expenditure incurred in FY: 2023-24 of 4th control period </t>
  </si>
  <si>
    <t xml:space="preserve">Scheme wise details of Capital Expenditure proposed for Financial Year 2025-26 </t>
  </si>
  <si>
    <t xml:space="preserve">Scheme wise details of Actual Capitalisation for FY 2023-24 </t>
  </si>
  <si>
    <t>Project Start Date  
(DD-MM-YY)</t>
  </si>
  <si>
    <t>Project Completion Date
(DD-MM-YY)</t>
  </si>
  <si>
    <t>Scope of work
(Names of all the Sub-stations and Lines included in the Scheme)</t>
  </si>
  <si>
    <t>I. Ongoing Schemes as on 01.04.2023</t>
  </si>
  <si>
    <t>Sub-total-I</t>
  </si>
  <si>
    <t>Sub-total-II</t>
  </si>
  <si>
    <t>III. Non-plan schemes taken up during 2023-24</t>
  </si>
  <si>
    <t>Sub-total-III</t>
  </si>
  <si>
    <t>Grans Total I + II + III</t>
  </si>
  <si>
    <t>II. New schemes taken up during 2025-26</t>
  </si>
  <si>
    <t xml:space="preserve">Total Cumulative Expenditure (in Cr)
</t>
  </si>
  <si>
    <t>FY:2024-25</t>
  </si>
  <si>
    <t>1st Half
(Apr-Sept) (Actuals)</t>
  </si>
  <si>
    <t>2nd Half
(Oct-Mar) (Projected)</t>
  </si>
  <si>
    <t>Total 24-25
(Projected)</t>
  </si>
  <si>
    <t>Spill over Yearly Capital Expenditure projected for works taken up in or before 2025-26 (in Cr)</t>
  </si>
  <si>
    <t>S-14-02</t>
  </si>
  <si>
    <t>Suryapet Power Transmission Scheme</t>
  </si>
  <si>
    <t>1) 400/220/132 kV Suryapet  Substation
2) LILO of 400kV VTS – Malkaram DC Line to Suryapet 400kV SS
3) 400kV Kamavarapukota - Suryapet QMDC Line
4) 400kV Suryapet - Shankarapally QMDC Line</t>
  </si>
  <si>
    <t>S I</t>
  </si>
  <si>
    <t>01/ 17.01.2014
49/ 04.12.2014
11/ 15.03.2016</t>
  </si>
  <si>
    <t>36th &amp; 39th SCPSPSR Meetings dtd. 04.09.2013 &amp;
29.12.2015 respectively</t>
  </si>
  <si>
    <t>APT/TS/
400kV Suryapet/
F-INVST-28/2014
dt.21.01.2015</t>
  </si>
  <si>
    <t>REC</t>
  </si>
  <si>
    <t>-</t>
  </si>
  <si>
    <t>TOO.(CE-Projects-I) Ms.No.11, dt.15.03.2016</t>
  </si>
  <si>
    <t>A-15-10,
A-15-11</t>
  </si>
  <si>
    <t>400kV Augmentation Scheme</t>
  </si>
  <si>
    <t>Augmentation of 315 MVA PTRs at Dichpally &amp; Mahaboobnagar and 500MVA ICT at Gajwel 400kV SS</t>
  </si>
  <si>
    <t>20/ 29.08.2015
04/ 11.01.2017
49/ 28.03.2017</t>
  </si>
  <si>
    <t>39th &amp; 40th meetings of SCPSPSR dated 28-29.12.2015 &amp;
19.11.2016 respectively</t>
  </si>
  <si>
    <t>03/17, 2017-18
dt.04.05.2017</t>
  </si>
  <si>
    <t>PFC</t>
  </si>
  <si>
    <t>Feb'
2016</t>
  </si>
  <si>
    <t>P-15-01</t>
  </si>
  <si>
    <t>Dindi System Improvement Scheme</t>
  </si>
  <si>
    <t>1) 400/220kV Dindi Substation
2) LILO of 400kV Srisailam – Mamidipally DC Line to 400kV Dindi SS</t>
  </si>
  <si>
    <t>116/ 02.07.2015
08/ 19.01.2016</t>
  </si>
  <si>
    <t>39th meeting of SCPSPSR dated 28-29.12.2015</t>
  </si>
  <si>
    <t>16 / 15, Dt.02.01.2016</t>
  </si>
  <si>
    <t>S-15-13</t>
  </si>
  <si>
    <t xml:space="preserve">765kV Wardha– Hyderabad Link Transmission Scheme              </t>
  </si>
  <si>
    <t>1) 400/220kV Maheshwaram;
2) 400kV QMDC Line from Maheshwaram 765/400kV (PGCIL) SS;
3) 400kV Maheswaram - Shankarapally TMDC Line;
4) 400/220/132kV Kethireddypalli SS;
5) LILO of 400kV Shankarpally-Suryapeta QMDC Line to 400kV Kethireddypalli SS;
6) 400kV QMDC line from 400kV Dichpally SS to 400kV Nirmal SS;
7) LILO of 400kV Dindi-Mamidipally TMDC Line to 400kV Maheshwaram SS</t>
  </si>
  <si>
    <t>146/ 05.08.2015
30/ 04.10.2016
105/ 15.07.2017</t>
  </si>
  <si>
    <t>36th &amp; 37th SCPSPSR Meetings dtd. 04.09.2013 &amp;
31.07.2014 respectively</t>
  </si>
  <si>
    <t>16/17-2017-18, Dt.19.12.2017</t>
  </si>
  <si>
    <t>Nov'
2015</t>
  </si>
  <si>
    <t>Mar'
2022</t>
  </si>
  <si>
    <t>P-16-01</t>
  </si>
  <si>
    <t>Telangana STPP-I Power Evacuation Scheme</t>
  </si>
  <si>
    <t>1) 400/220kV Ramadugu Substation
2) 400kV TSTPP (2x800MW) - Ramadugu QMDC Line;  3) 2) 400kV TSTPP (2x800MW) - Narsapur QMDC Line</t>
  </si>
  <si>
    <t>G E</t>
  </si>
  <si>
    <t>34/ 25.11.2016
104/ 12.07.2017</t>
  </si>
  <si>
    <t>40th &amp; 41st Meetings of SCPSPSR dtd. 19.11.2016 &amp; 22.09.2017 respectively</t>
  </si>
  <si>
    <t>10/2017, dt.23.08.2017</t>
  </si>
  <si>
    <t>Oct'
2017</t>
  </si>
  <si>
    <t>S-17-08</t>
  </si>
  <si>
    <t>Rayadurg System Improvement Scheme</t>
  </si>
  <si>
    <t>1) 400/220/132KV GIS at Rayadurg
2) 400KV Kethireddypally - Rayadurg DC Line
3) LILO of 220kV Gachibowli – Shivarampally Line to Rayadurg GIS;
4) LILO of 220kV Gachibowli – Shapurnagar Line to Rayadurg GIS;
5) LILO of 220kV Gachibowli – Miyapur Line to Rayadurg GIS;
6) LILO of 220kV Gachibowli – Erragadda Line to Rayadurg GIS;
7) 132kV Rayadurg - Madhapur DC Line;
8) 132kV Rayadurg - Jubileehills DC Line;
9) LILO of 132kV Jubilee Hills – Shivarampally SC Line to Rayadurg</t>
  </si>
  <si>
    <t>44/ 22.03.2017
79/ 13.04.2018</t>
  </si>
  <si>
    <t>41st Meeting of SCPSPSR dated 22.09.2017</t>
  </si>
  <si>
    <t>02 / 2018-19,
Dt. 24.05.2018</t>
  </si>
  <si>
    <t>Sep'
2018</t>
  </si>
  <si>
    <t>Apr'
2022</t>
  </si>
  <si>
    <t>S-19-01</t>
  </si>
  <si>
    <t>KTPP System Improvement Scheme</t>
  </si>
  <si>
    <t>400/220/132kV Substation at KTPP Switchyard, Bhupalapally</t>
  </si>
  <si>
    <t>297/ 09.02.2019</t>
  </si>
  <si>
    <t>1st Meeting of SRSCT dated 07.09.2018</t>
  </si>
  <si>
    <t>03 / 2019-20
Dt. 22.11.2019</t>
  </si>
  <si>
    <t>Jan'
2020</t>
  </si>
  <si>
    <t>S-19-02</t>
  </si>
  <si>
    <t>Reactor Scheme-III</t>
  </si>
  <si>
    <t>Installation of 125MVAR Bus Reactors at Suryapet, Rayadurg, Kethireddypalli, Narsapur, Maheshwaram, Janagaon and Dindi 400kV Substations and Installation of 80MVAR Bus Reactor &amp; 63MVAR Switchable Line Reactors at Asupaka 400kV SS</t>
  </si>
  <si>
    <t>304/ 23.02.2019</t>
  </si>
  <si>
    <t>04 / 2019-20
Dt. 09.12.2019</t>
  </si>
  <si>
    <t>PSDF</t>
  </si>
  <si>
    <t>Mar'
2023</t>
  </si>
  <si>
    <t>S-21-05</t>
  </si>
  <si>
    <t>HVWS for 500MVA ICTs at 400kV Substations</t>
  </si>
  <si>
    <t>Dec'
2021</t>
  </si>
  <si>
    <t>May'
2022</t>
  </si>
  <si>
    <t>P-19-02</t>
  </si>
  <si>
    <t>Yadradri Thermal Power Evacuation Scheme</t>
  </si>
  <si>
    <t>451/ 10.10.2019</t>
  </si>
  <si>
    <t>39th meeting of SCPSPSR dated 28-29.12.2015
&amp;
1st meeting of SRPCTP
dt.16.12.19</t>
  </si>
  <si>
    <t>09 / 2019-20,
Dt. 27.01.2020</t>
  </si>
  <si>
    <t>PFC
&amp;
REC</t>
  </si>
  <si>
    <t>1102.26
&amp;
1110.65</t>
  </si>
  <si>
    <t>A-21-07</t>
  </si>
  <si>
    <t>Augmentation Scheme-IV</t>
  </si>
  <si>
    <t>Erection of 315/500 MVA ICT’s at 400kV Suryapet, Asupaka, Veltoor, Dichpally &amp; Gajwel Sub-stations</t>
  </si>
  <si>
    <t>1311/ 14.02.2022</t>
  </si>
  <si>
    <t>CEA Lr. Dated 10.12.2021</t>
  </si>
  <si>
    <t>01 / 2022-23
Dt.05.05.2022
01 / 2024-25
Dt.17.05.2024</t>
  </si>
  <si>
    <t>HUDCO</t>
  </si>
  <si>
    <t>Dec.'
2020</t>
  </si>
  <si>
    <t>Sept.,
2023</t>
  </si>
  <si>
    <t>P-07-01</t>
  </si>
  <si>
    <t>Erec Bay Exte @  Malkaram 400kV SS</t>
  </si>
  <si>
    <t>ERE BAY EXTE@  MALKARAM  400 KV SS</t>
  </si>
  <si>
    <t>D-15-09</t>
  </si>
  <si>
    <t>2Nos 400kV BE - 400kV Dichpally SS</t>
  </si>
  <si>
    <t>Feb., 2016</t>
  </si>
  <si>
    <t>Feb., 2017</t>
  </si>
  <si>
    <t>D-20-03</t>
  </si>
  <si>
    <t>Diversion of 400kV Julurupadu-KTPS &amp; KTPS-PGCIL Line)</t>
  </si>
  <si>
    <t>Diversion of 400kV Julurupadu-KTPS &amp; KTPS-PGCIL Line)   (D-20-03)</t>
  </si>
  <si>
    <t>DC Works</t>
  </si>
  <si>
    <t>Aug., 2020</t>
  </si>
  <si>
    <t>Aug., 2021</t>
  </si>
  <si>
    <t>N-22-01</t>
  </si>
  <si>
    <t>Non Plan Capital Works Exe by Const wing</t>
  </si>
  <si>
    <t>Survey for Shifting Towers of BTPS to Julurupadu 400kV Line (For Sitamma Sagar Multi Purpose Project)</t>
  </si>
  <si>
    <t>Scope of work
(Names of all the Sub-stations and Lines included in the scheme)</t>
  </si>
  <si>
    <t>400kV</t>
  </si>
  <si>
    <t>01 / 17.01.2014
49/ 04.12.2014
11/ 15.03.2016</t>
  </si>
  <si>
    <t>July
2013</t>
  </si>
  <si>
    <t>Sept'
2013</t>
  </si>
  <si>
    <t>Mar'
2017</t>
  </si>
  <si>
    <t>Apr.
2018</t>
  </si>
  <si>
    <t>Part</t>
  </si>
  <si>
    <t>146/ 05.08.2015
30/ 04.10.2016
105/ 15.07.2015</t>
  </si>
  <si>
    <t>10/15, Dt.11.11.2015
&amp;
16/17-2017-18, Dt.19.12.2017</t>
  </si>
  <si>
    <t>Jan.
2016</t>
  </si>
  <si>
    <t>Feb.
2016</t>
  </si>
  <si>
    <t>Mar'
2019</t>
  </si>
  <si>
    <t>Feb'
2021</t>
  </si>
  <si>
    <t>44/ 22.03.2017;
79/ 13.04.2018</t>
  </si>
  <si>
    <t>May
2018</t>
  </si>
  <si>
    <t>May
2020</t>
  </si>
  <si>
    <t>1102.26
1110.65</t>
  </si>
  <si>
    <t>400kV Lift Irrigaiton Schemes:</t>
  </si>
  <si>
    <t>L-18-04</t>
  </si>
  <si>
    <t>Sita Rama LI Scheme</t>
  </si>
  <si>
    <t>Bulk &amp; DC Works</t>
  </si>
  <si>
    <t>449 &amp; 450
Dated
10.10.2019</t>
  </si>
  <si>
    <t>N/A</t>
  </si>
  <si>
    <t>Sub-Total-I :</t>
  </si>
  <si>
    <t>1) 400/220kV Dameracherla SS;  2) 400kV YTPP Switchyard - Damaracherla QMDC Line;  3) 400kV YTPP Switchyard - Jangoan QMDC Line: and
4) 400/220/132kV Choutuppal SS;
5) LILO of 400kV Mamidipally-Khammam TMDC Line to Choutuppal SS;  6) 400kV YTPP Switchyard - Choutuppal QMDC Line;  7)  400kV YTPP Switchyard - Dindi QMDC Line</t>
  </si>
  <si>
    <t>Scope of work
(Names of all the Sub-stations and Lines included in the scheme maybe given)</t>
  </si>
  <si>
    <t>Extension of 132kV Power Supply to P.S.No.4 of SRLIP at Dibbagudem</t>
  </si>
  <si>
    <t>41st Meeting of SCPSPSR dated 22.09.2017
&amp;
1st Meeting of SRSCT dated 07.09.2018</t>
  </si>
  <si>
    <t>Aug'
2020</t>
  </si>
  <si>
    <t>Aug'
2021</t>
  </si>
  <si>
    <t>L-13-01</t>
  </si>
  <si>
    <t>Indira Sagar Rudrammakota LI scheme</t>
  </si>
  <si>
    <t>Administrative approval No. with date</t>
  </si>
  <si>
    <t>127 /
16.09.2019</t>
  </si>
  <si>
    <t>1) 400/220kV Maheshwaram;
2) 400kV QMDC Line from Maheshwaram 765/400kV (PGCIL) SS;  3) 400kV Maheswaram - Shankarapally TMDC Line;  4) 400/220/132kV Kethireddypalli SS;
5) LILO of 400kV Shankarpally-Suryapeta QMDC Line to 400kV Kethireddy-palli SS;  6) 400kV QMDC line from 400kV Dichpally SS to 400kV Nirmal SS;
7) LILO of 400kV Dindi-Mamidipally TMDC Line to 400kV Maheshwaram SS</t>
  </si>
  <si>
    <t>Chief Engineer/ 400kV</t>
  </si>
  <si>
    <t>400kV Transmission Schemes:</t>
  </si>
  <si>
    <t>Sub-Total-III</t>
  </si>
  <si>
    <t>II. New schemes taken up during 2023-24 :  - NIL -</t>
  </si>
  <si>
    <t>SRPC approval
(if any)</t>
  </si>
  <si>
    <t>I&amp;CAD, Govt.of TG Funds</t>
  </si>
  <si>
    <t>Mar'
2014</t>
  </si>
  <si>
    <t>Aug'
2017</t>
  </si>
  <si>
    <t>10.08.2017</t>
  </si>
  <si>
    <t>Sita Rama Lift Irrigaiton Scheme</t>
  </si>
  <si>
    <t>Bulk Load &amp; DC Works</t>
  </si>
  <si>
    <t>May, 2023</t>
  </si>
  <si>
    <t>28.04.23</t>
  </si>
  <si>
    <t>1) 400/220kV Asupaka SS
2) 400kV LILO of one ckt of Kalpaka (Vizag) - Khammam 400kV DC line to Asupaka 400/220kV SS</t>
  </si>
  <si>
    <t>1) 400/220/11kV Kamalapuram LI SS, 2) 220/11kV B.G.Kothur LI SS, 3) 220/11kV V.K.Ramavaram LI SS, 3) 400kV Julurupadu - Kamalapuram TMDC Line, 4) LILO of one circuit of 220kV KTPS-Manuguru Line to B.G.Kothur, 5) LILO of one circuit of 220kV KTPS V-Lower Sileru -II Line to B.G.Kothur, 6) LILO of 220kV KTS – Lower Sileru-I Line at 400/220 kV Asupaka SS, 7) LILO of 220kV KTS - Asupaka Line to 220kV V.K.Ramavaram LI SS, 8) 220kV TMDC Line from 400/220/11kV Kamalapuram SS to 220/11 kV V.K.Ramavaram</t>
  </si>
  <si>
    <t>400kV Transmission Schemes :</t>
  </si>
  <si>
    <t>400kV Lift Irrigaiton Transmission Schemes :</t>
  </si>
  <si>
    <t xml:space="preserve"> Total :</t>
  </si>
  <si>
    <t>Total :</t>
  </si>
  <si>
    <t>II. New schemes taken up during 2023-24 : -  Nil  -</t>
  </si>
  <si>
    <t>Remarks/ Balance works , if any.</t>
  </si>
  <si>
    <r>
      <rPr>
        <sz val="15"/>
        <rFont val="Arial"/>
        <family val="2"/>
      </rPr>
      <t>Whether Part Capitalization or Full
Capitalisation</t>
    </r>
  </si>
  <si>
    <t>Projected expenditure for
2025-26</t>
  </si>
  <si>
    <t>S E</t>
  </si>
  <si>
    <t>Rs.48.65 Cr.
Bulk Load &amp; DC Works</t>
  </si>
  <si>
    <t xml:space="preserve">  4) 1 No. Transformer Bay at 220/132kV Ashwarao peta;  5) 2 Nos. 132kV Bays at existing 132/33kV SS Gangaram</t>
  </si>
  <si>
    <t>1) 132/11 kV Dibbagudem Substation;  2) LILO from 132kV Ashwaraopeta – Gangaram Line to Dibbagudem;  3) LILO from 132kV Penuballi – Kalluru Line to Gangaram 132/33kV SS;  and associated Bays</t>
  </si>
  <si>
    <t>Tendering will be initiated only after reciving payment from I&amp;CAD department, Govt. of Telangana</t>
  </si>
  <si>
    <t xml:space="preserve">Total Cumulative Expenditure
(in Cr)
</t>
  </si>
  <si>
    <t>1) 400/220kV Dameracherla SS;
2) 400/220/132kV Choutuppal SS;
3) 400kV YTPPS  - Damaracherla QMDC Line;  4) LILO of 400kV Mamidipally-Khammam TMDC Line to Choutuppal SS;  5) 400kV YTPP Switchyard - Dindi QMDC Line;  6) 400kV YTPP Switchyard - Choutuppal QMDC Line;  7) 400kV YTPP Switchyard - Jangoan QMDC Line:</t>
  </si>
  <si>
    <t>To be issued</t>
  </si>
  <si>
    <t>April, 2025</t>
  </si>
  <si>
    <t>State Govt. approval for Integrated Steel Plant is yet to be received *.</t>
  </si>
  <si>
    <t>1) 400/220kV Integrated Steel Plant SS in Khammam Dist.
2) 400kV Julurupadu - Integrated Steel Plant QMDC Line, and associated 400kV Bays</t>
  </si>
  <si>
    <t>Depository Contribution Work
(Consumer Contribution)</t>
  </si>
  <si>
    <t>DC Work</t>
  </si>
  <si>
    <t>D-23-01</t>
  </si>
  <si>
    <t>Re-alignment of 400kV BTPS to Julurpadu 400kV QMDC Line</t>
  </si>
  <si>
    <t>Raising/re-aligning Towers of existing 400kV QMDC Line from BTPS (Manuguru) to Julurupadu SS for Sitamma Sagar Multi-Purpose Project</t>
  </si>
  <si>
    <t>Project Purpose (SI/SE/ SR/GE)</t>
  </si>
  <si>
    <t>S R
(Partial)</t>
  </si>
  <si>
    <t>400/220 kV Kandi GI Substation and connected Lines</t>
  </si>
  <si>
    <t>400/220kV Shadnagar GI Substation and connected Lines</t>
  </si>
  <si>
    <t>Sept.,
2013</t>
  </si>
  <si>
    <t>May,          2018</t>
  </si>
  <si>
    <t>Apr.'
2018</t>
  </si>
  <si>
    <t>Dec.'         2017</t>
  </si>
  <si>
    <t>Feb.'
2016</t>
  </si>
  <si>
    <t>Feb.'
2021</t>
  </si>
  <si>
    <t>Aug.'
2021</t>
  </si>
  <si>
    <t>Capitalizn up to 31.03.2023</t>
  </si>
  <si>
    <t>Capitalizn during
2023-24</t>
  </si>
  <si>
    <t>Total Capitalization up to 31.03.2024</t>
  </si>
  <si>
    <t>Balance works in progress</t>
  </si>
  <si>
    <t>Works in progress</t>
  </si>
  <si>
    <t xml:space="preserve">Project Start Date  </t>
  </si>
  <si>
    <t>(DD-MM-YY)</t>
  </si>
  <si>
    <t>Project Completion Date</t>
  </si>
  <si>
    <t>Opening CWIP</t>
  </si>
  <si>
    <t>as on 31.03.2023</t>
  </si>
  <si>
    <t>1311/ 14.02.2022;
1530/
03.12.2022</t>
  </si>
  <si>
    <t>On-going</t>
  </si>
  <si>
    <t>Capital Expenditure during the current year
(2023-24)</t>
  </si>
  <si>
    <t>100% Consumer Contribution</t>
  </si>
  <si>
    <t>I&amp;CAD, Govt.of TG</t>
  </si>
  <si>
    <t>Dec.'         2016</t>
  </si>
  <si>
    <t>41st Meeting of SCPSPSR dated 22.09.2017
CEA Lr. Dt. 10.12.2021</t>
  </si>
  <si>
    <t>March, 2023</t>
  </si>
  <si>
    <t>May, 2022</t>
  </si>
  <si>
    <t>Aug., 2022</t>
  </si>
  <si>
    <t>Works in Progress</t>
  </si>
  <si>
    <t>June, 2025</t>
  </si>
  <si>
    <t>March, 2028</t>
  </si>
  <si>
    <t>March, 2027</t>
  </si>
  <si>
    <t>Sept., 2026</t>
  </si>
  <si>
    <t>III. Non-plan schemes taken up during 2025-26 :  -  Nil  -</t>
  </si>
  <si>
    <t>1230 &amp; 1231
Dated
02.11.2021</t>
  </si>
  <si>
    <t>Rs.166.04 Cr.
DC Work</t>
  </si>
  <si>
    <t>Note :* As per AP Re-Organization Act 2014, Telangana State was assured for establishment of Integrated Steel Plant. In this connection, Mines Department, Telangana requested to furnish the feasibility report for construction of SS&amp; lines for the three sites proposed by  M/s. MECON Limited, (Engineering and Consultancy Services). Accordingly TSTRANSCO has submitted detailed report for providing power supply to proposed Integrated Steel Plant vide Letter dated 27.06.2018. No further correspondence received from Govt. of Telangana regarding extension of power supply to proposed steel plant.  This Integrated Steel Plant Transmission Scheme will be taken up only after finalization of steel plant site and also based on the System Studies Report, to extend the power supply to proposed steel plant.</t>
  </si>
  <si>
    <t>Dec.,
2025</t>
  </si>
  <si>
    <t>Works of Items-6 &amp; 7
400kV Lines to Choutuppal &amp; Jangaon are under progress and expected to be charged by March &amp; Dec., 2025 respectively</t>
  </si>
  <si>
    <t>Augmentation Scheme-V</t>
  </si>
  <si>
    <t>July, 2025</t>
  </si>
  <si>
    <t>June, 2026</t>
  </si>
  <si>
    <t>Scheme is under formulation</t>
  </si>
  <si>
    <t>Sub-Total-II :</t>
  </si>
  <si>
    <t>CEA Lr.dt. 07.10.2024
(Raidurg SS)</t>
  </si>
  <si>
    <t>Dec., 2027</t>
  </si>
  <si>
    <t>400kV GIS at CTRLS Data Cetnre and connected Line</t>
  </si>
  <si>
    <t>1) 400/220/11kV Kamalapuram LI-SS, 2) 400kV Julurupadu - Kamalapuram TMDC Line, 3) 220/11kV V.K.Ramavaram LI-SS,  4) 220/11kV B.G.Kothur LI-SS, 5) LILO of 220kV KTS – Lower Sileru-I Line at 400/220 kV Asupaka SS,</t>
  </si>
  <si>
    <t xml:space="preserve"> 6) LILO of 220kV KTS - Asupaka Line to 220kV V.K.Ramavaram LI SS,  7) 220kV Kamalapuram - V.K. Ramavaram TMDC Line,  8) LILO of one circuit of 220kV KTPS-Manuguru Line to B.G.Kothur,  9) LILO of one circuit of 220kV KTPS V-Lower Sileru -II Line to B.G.Kothur</t>
  </si>
  <si>
    <t>1) 400/220kV Kandi G I Substation
2) LILO of 400kV Shankarpally-Narsapur  TMDC Line to 400/220kV Kandi G I S</t>
  </si>
  <si>
    <t>1) 400/220kV Shadnagar G I Substation
2) LILO of one circuit of Maheshwaram-Shankarpally 400kV TMDC Line to 400/220kV Shadnagar G I S</t>
  </si>
  <si>
    <t>2020000587
2021000025
2021000026
2021000177
2022000392
2023000327
2023000328
2023000329
2023000353
2023000354</t>
  </si>
  <si>
    <t>2022000288
2022000291</t>
  </si>
  <si>
    <t>202200154
202200155</t>
  </si>
  <si>
    <t>16.10.21</t>
  </si>
  <si>
    <t>202000375
202100163
202100165
202100166
202200361
2023000423
2023000421
2023000422
2024000320
2023000420</t>
  </si>
  <si>
    <t>16.09.2017</t>
  </si>
  <si>
    <t>28.04.2023</t>
  </si>
  <si>
    <t>Bays (Nos)</t>
  </si>
  <si>
    <t>PTR (MVA)</t>
  </si>
  <si>
    <t>Sub-stations  (Nos)</t>
  </si>
  <si>
    <t>SRPC approval no with date
(if any)</t>
  </si>
  <si>
    <t>Augmentation of 500MVA, 400/220 kV Auto Transformers, 1 No. each at 400kV Raidurg, Kethireddupally &amp; Maheswaram SSs</t>
  </si>
  <si>
    <t>Laying- CC road NH 365B to 400Jangaon SS</t>
  </si>
  <si>
    <t>March, 2025</t>
  </si>
  <si>
    <t>2019000040
2019000043</t>
  </si>
  <si>
    <t>202001469
202000157</t>
  </si>
  <si>
    <t>2022000181
2022000129
2022000120
2022000085</t>
  </si>
  <si>
    <t>202200168
2024000692
202200172
2023000609</t>
  </si>
  <si>
    <t>2023001149
2023001150
2023001176</t>
  </si>
  <si>
    <t>2024000694
2023000712
2024000514</t>
  </si>
  <si>
    <t>2023001136
2023001134
2023001261
2023001148
2023000422
2023001151</t>
  </si>
  <si>
    <t>2023000711
2023000712
2024000749
2023000663
2023000674
2023000671</t>
  </si>
  <si>
    <t>2023000448
2023000445
2023000444</t>
  </si>
  <si>
    <t>2023000713
2023000618
2023000697</t>
  </si>
  <si>
    <t>2023001263
2023001175
2024000129</t>
  </si>
  <si>
    <t>2024000748
2024000742
2024000515</t>
  </si>
  <si>
    <t>1) 400/220kV Maheshwaram SS;
2) 400kV QMDC Line from Maheshwaram 765/400kV (PGCIL) SS;   3) 400kV Maheswaram - Shankarapally TMDC Line;   4) 400/220/132kV Kethireddypalli SS;
5) LILO of 400kV Shankarpally-Suryapeta QMDC Line to 400kV Kethireddypalli SS;
6) 400kV Dichpally - Nirmal QMDC Line;
7) LILO of 400kV Dindi-Mamidipally TMDC Line to 400kV Maheshwaram SS</t>
  </si>
  <si>
    <t>1) 400/220/132KV GIS at Rayadurg,  2) 400KV Kethireddypally - Rayadurg DC Line
3) LILO of 220kV Gachibowli – Shivarampally Line to Rayadurg GIS;  4) LILO of 220kV Gachibowli – Shapurnagar Line to Rayadurg GIS;  5) LILO of 220kV Gachibowli – Miyapur Line to Rayadurg GIS;  6) LILO of 220kV Gachibowli – Erragadda Line to Rayadurg GIS;  7) 132kV Rayadurg - Madhapur DC Line;  8) 132kV Rayadurg - Jubileehills DC Line;  9) LILO of 132kV Jubilee Hills – Shivarampally SC Line to Rayadurg</t>
  </si>
  <si>
    <t>1) 400/220/132KV GIS at Rayadurg
2) 400KV Kethireddypally - Rayadurg DC Line
3) LILO of 220kV Gachibowli – Shivarampally Line to Rayadurg GIS;  4) LILO of 220kV Gachibowli – Shapurnagar Line to Rayadurg GIS;  5) LILO of 220kV Gachibowli – Miyapur Line to Rayadurg GIS;  6) LILO of 220kV Gachibowli – Erragadda Line to Rayadurg GIS;  7) 132kV Rayadurg - Madhapur DC Line;  8) 132kV Rayadurg - Jubileehills DC Line;  9) LILO of 132kV Jubilee Hills – Shivarampally SC Line to Rayadurg</t>
  </si>
  <si>
    <t>04 / 2019-20;
Dt. 09.12.2019</t>
  </si>
  <si>
    <t>01 / 2022-23
Dt.05.05.2022;
01 / 2024-25
Dt.17.05.2024</t>
  </si>
  <si>
    <t>N-23-01</t>
  </si>
  <si>
    <t>Non Plan Capital works Exe by Const wing</t>
  </si>
  <si>
    <t>1) 400kV G I Switching-station at CTRLS Data Centre;   2) LILO of one Ckt. of 400kV Maheswaram - Shankarapally TMDC Line</t>
  </si>
  <si>
    <t>I. Ongoing Schemes as on 01.04.2025 :</t>
  </si>
  <si>
    <t>1) 400/220kV Ramadugu Substation;  2) 400kV TSTPP (2x800MW) - Ramadugu QMDC Line;  3) 2) 400kV TSTPP (2x800MW) - Narsapur QMDC Line</t>
  </si>
  <si>
    <t>Non Plan Capital works for FY 2022-23</t>
  </si>
  <si>
    <t>Z-99-01</t>
  </si>
  <si>
    <t>Rolling Stocks Procurement N Consumption</t>
  </si>
  <si>
    <t>Oct'24</t>
  </si>
  <si>
    <t>Justification</t>
  </si>
  <si>
    <t>All the works are Commissioned.</t>
  </si>
  <si>
    <t xml:space="preserve">The investment approval received on 27.01.2020, as mentioned in Column (8), TGERC details.
400kV YTPP Switchyard - Dindi QMDC Line,  400kV YTPP Switchyard - Choutuppal QMDC Line and 400kV YTPP Switchyard - Jangoan QMDC Line are proposed in 4th CP. However, the 400kV YTPP Switchyard - Dindi QMDC Line (103.738 Ckm) charged on 12.06.2024.The remaining lines ,Choutuppal (184.754 Ckm) and Jangaon (278 CKM )are expected in March 2025 and Dec 2025 respectively.
</t>
  </si>
  <si>
    <t>I. Ongoing Schemes as on 01.04.2025 (Investment approval accorded by Hon'ble TGERC)</t>
  </si>
  <si>
    <t>Dec'24</t>
  </si>
  <si>
    <t>III. Non-plan schemes taken up during 2025-26 (Will be taken up on payment of amonuts by Third parties)</t>
  </si>
  <si>
    <t>All the works were Commissioned.</t>
  </si>
  <si>
    <t>Proposed in 4th CP. However, all the works are Commissioned by 
December 2024..</t>
  </si>
  <si>
    <t>Already approved vide 29.12.2023 Resource Plan for 5th CP.</t>
  </si>
  <si>
    <t>All works were commissioned.</t>
  </si>
  <si>
    <t>II. New schemes taken up during 2025-26 (Will be taken up on payment of amonuts by Third parties) :</t>
  </si>
  <si>
    <t>Proposed at the request of Irrigation Department,
Kothagudem.</t>
  </si>
  <si>
    <t>New Scheme:
Considering the Hyderabad City growth and future laod growth in GHMC, the Augmentation of ICT capacities in the existing Substations is proposed in 5th CP.</t>
  </si>
  <si>
    <t xml:space="preserve">New Scheme:
To meet the expected/projected state peak demand , the said transmission network is proposed and the scheme is under formulation with tentative scope of works mentioned in column (4), Scope of Work. The details as per clause 7.6 of Regulation 2 od 2023, will be submiited , on approval of the scheme by CEA/SRPC(i.e Voltage -wise  MVA and Ckm detalis) </t>
  </si>
  <si>
    <t>CHIEF ENGINEER/400KV</t>
  </si>
  <si>
    <t>Completed in November 2024.</t>
  </si>
  <si>
    <t>New Proposal received on
10.05. 2024 and submitted the proposal in 5th CP.</t>
  </si>
  <si>
    <t>All works commissioned by
 June 2022.</t>
  </si>
  <si>
    <t>The investment approval received on 27.01.2020, as mentioned in Column (8), TGERC details.
The Substation is proposed in 4th CP. Ready for charging.</t>
  </si>
  <si>
    <r>
      <t>Integrated Steel Plant Transmission Scheme</t>
    </r>
    <r>
      <rPr>
        <sz val="16"/>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</si>
</sst>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_(* \(#,##0.00\);_(* &quot;-&quot;??_);_(@_)"/>
    <numFmt numFmtId="165" formatCode="dd\.mm\.yyyy;@"/>
    <numFmt numFmtId="166" formatCode="0.000"/>
    <numFmt numFmtId="167" formatCode="#,##0.00;[Red]#,##0.00"/>
    <numFmt numFmtId="168" formatCode="_(* #,##0.000_);_(* \(#,##0.000\);_(* &quot;-&quot;??_);_(@_)"/>
    <numFmt numFmtId="169" formatCode="0.0000"/>
    <numFmt numFmtId="170" formatCode="_(* #,##0.0000_);_(* \(#,##0.0000\);_(* &quot;-&quot;??_);_(@_)"/>
    <numFmt numFmtId="171" formatCode="0.0%"/>
  </numFmts>
  <fonts count="65" x14ac:knownFonts="1">
    <font>
      <sz val="11"/>
      <color theme="1"/>
      <name val="Calibri"/>
      <family val="2"/>
      <scheme val="minor"/>
    </font>
    <font>
      <sz val="12"/>
      <color theme="1"/>
      <name val="Calibri"/>
      <family val="2"/>
      <scheme val="minor"/>
    </font>
    <font>
      <sz val="11"/>
      <color theme="1"/>
      <name val="Calibri"/>
      <family val="2"/>
      <scheme val="minor"/>
    </font>
    <font>
      <sz val="10"/>
      <color rgb="FF000000"/>
      <name val="Times New Roman"/>
      <family val="1"/>
    </font>
    <font>
      <b/>
      <sz val="12"/>
      <name val="Arial"/>
      <family val="2"/>
    </font>
    <font>
      <sz val="10"/>
      <color rgb="FF000000"/>
      <name val="Times New Roman"/>
      <family val="1"/>
    </font>
    <font>
      <sz val="10"/>
      <name val="Arial"/>
      <family val="2"/>
    </font>
    <font>
      <sz val="11"/>
      <color theme="1"/>
      <name val="Arial Narrow"/>
      <family val="2"/>
    </font>
    <font>
      <sz val="12"/>
      <name val="Arial"/>
      <family val="2"/>
    </font>
    <font>
      <b/>
      <sz val="9"/>
      <color indexed="81"/>
      <name val="Tahoma"/>
      <family val="2"/>
    </font>
    <font>
      <sz val="9"/>
      <color indexed="81"/>
      <name val="Tahoma"/>
      <family val="2"/>
    </font>
    <font>
      <sz val="12"/>
      <color indexed="81"/>
      <name val="Tahoma"/>
      <family val="2"/>
    </font>
    <font>
      <b/>
      <u/>
      <sz val="12"/>
      <name val="Arial"/>
      <family val="2"/>
    </font>
    <font>
      <b/>
      <sz val="12"/>
      <name val="Arial Narrow"/>
      <family val="2"/>
    </font>
    <font>
      <sz val="12"/>
      <color theme="1"/>
      <name val="Arial Narrow"/>
      <family val="2"/>
    </font>
    <font>
      <sz val="12"/>
      <color theme="1"/>
      <name val="Arial"/>
      <family val="2"/>
    </font>
    <font>
      <sz val="12"/>
      <color rgb="FF0000FF"/>
      <name val="Arial"/>
      <family val="2"/>
    </font>
    <font>
      <sz val="12"/>
      <name val="Arial Narrow"/>
      <family val="2"/>
    </font>
    <font>
      <b/>
      <sz val="12"/>
      <color indexed="8"/>
      <name val="Arial"/>
      <family val="2"/>
    </font>
    <font>
      <sz val="14"/>
      <color theme="1"/>
      <name val="Arial"/>
      <family val="2"/>
    </font>
    <font>
      <sz val="14"/>
      <color theme="1"/>
      <name val="Calibri"/>
      <family val="2"/>
      <scheme val="minor"/>
    </font>
    <font>
      <b/>
      <sz val="14"/>
      <name val="Arial"/>
      <family val="2"/>
    </font>
    <font>
      <sz val="14"/>
      <name val="Arial"/>
      <family val="2"/>
    </font>
    <font>
      <b/>
      <sz val="14"/>
      <color theme="1"/>
      <name val="Calibri"/>
      <family val="2"/>
      <scheme val="minor"/>
    </font>
    <font>
      <b/>
      <sz val="14"/>
      <name val="Arial Narrow"/>
      <family val="2"/>
    </font>
    <font>
      <sz val="14"/>
      <color rgb="FF0000FF"/>
      <name val="Arial"/>
      <family val="2"/>
    </font>
    <font>
      <b/>
      <sz val="14"/>
      <color rgb="FF0000FF"/>
      <name val="Arial"/>
      <family val="2"/>
    </font>
    <font>
      <sz val="11"/>
      <name val="Arial Narrow"/>
      <family val="2"/>
    </font>
    <font>
      <sz val="15"/>
      <color rgb="FF0000FF"/>
      <name val="Calibri"/>
      <family val="2"/>
      <scheme val="minor"/>
    </font>
    <font>
      <sz val="12"/>
      <color rgb="FFFF0000"/>
      <name val="Arial"/>
      <family val="2"/>
    </font>
    <font>
      <sz val="15"/>
      <color theme="1"/>
      <name val="Calibri"/>
      <family val="2"/>
      <scheme val="minor"/>
    </font>
    <font>
      <b/>
      <sz val="15"/>
      <name val="Arial"/>
      <family val="2"/>
    </font>
    <font>
      <b/>
      <sz val="15"/>
      <color rgb="FF0000FF"/>
      <name val="Arial"/>
      <family val="2"/>
    </font>
    <font>
      <sz val="15"/>
      <name val="Arial"/>
      <family val="2"/>
    </font>
    <font>
      <sz val="15"/>
      <color theme="1"/>
      <name val="Times New Roman"/>
      <family val="1"/>
    </font>
    <font>
      <sz val="15"/>
      <color rgb="FF000000"/>
      <name val="Arial"/>
      <family val="2"/>
    </font>
    <font>
      <sz val="15"/>
      <color theme="1"/>
      <name val="Arial"/>
      <family val="2"/>
    </font>
    <font>
      <sz val="15"/>
      <color rgb="FF0000FF"/>
      <name val="Arial"/>
      <family val="2"/>
    </font>
    <font>
      <b/>
      <sz val="15"/>
      <name val="Arial Narrow"/>
      <family val="2"/>
    </font>
    <font>
      <b/>
      <sz val="15"/>
      <color theme="1"/>
      <name val="Calibri"/>
      <family val="2"/>
      <scheme val="minor"/>
    </font>
    <font>
      <sz val="14"/>
      <name val="Arial Narrow"/>
      <family val="2"/>
    </font>
    <font>
      <sz val="14"/>
      <color theme="1"/>
      <name val="Arial Narrow"/>
      <family val="2"/>
    </font>
    <font>
      <b/>
      <sz val="14"/>
      <color theme="1"/>
      <name val="Arial"/>
      <family val="2"/>
    </font>
    <font>
      <sz val="13"/>
      <color theme="1"/>
      <name val="Arial"/>
      <family val="2"/>
    </font>
    <font>
      <sz val="15"/>
      <color theme="1"/>
      <name val="Arial Narrow"/>
      <family val="2"/>
    </font>
    <font>
      <sz val="15"/>
      <name val="Arial Narrow"/>
      <family val="2"/>
    </font>
    <font>
      <sz val="12"/>
      <color rgb="FFFF0000"/>
      <name val="Calibri"/>
      <family val="2"/>
      <scheme val="minor"/>
    </font>
    <font>
      <b/>
      <sz val="12"/>
      <color rgb="FFFF0000"/>
      <name val="Arial"/>
      <family val="2"/>
    </font>
    <font>
      <sz val="11"/>
      <color rgb="FFFF0000"/>
      <name val="Arial Narrow"/>
      <family val="2"/>
    </font>
    <font>
      <b/>
      <sz val="12"/>
      <color rgb="FFFF0000"/>
      <name val="Arial Narrow"/>
      <family val="2"/>
    </font>
    <font>
      <b/>
      <sz val="12"/>
      <color theme="1"/>
      <name val="Arial"/>
      <family val="2"/>
    </font>
    <font>
      <b/>
      <sz val="12"/>
      <color theme="1"/>
      <name val="Arial Narrow"/>
      <family val="2"/>
    </font>
    <font>
      <sz val="14"/>
      <color rgb="FFFF0000"/>
      <name val="Arial"/>
      <family val="2"/>
    </font>
    <font>
      <sz val="16"/>
      <name val="Arial"/>
      <family val="2"/>
    </font>
    <font>
      <sz val="16"/>
      <color theme="1"/>
      <name val="Calibri"/>
      <family val="2"/>
      <scheme val="minor"/>
    </font>
    <font>
      <b/>
      <sz val="16"/>
      <name val="Arial"/>
      <family val="2"/>
    </font>
    <font>
      <b/>
      <sz val="16"/>
      <color rgb="FF0000FF"/>
      <name val="Arial"/>
      <family val="2"/>
    </font>
    <font>
      <sz val="16"/>
      <color theme="1"/>
      <name val="Times New Roman"/>
      <family val="1"/>
    </font>
    <font>
      <b/>
      <sz val="12"/>
      <color indexed="81"/>
      <name val="Tahoma"/>
      <family val="2"/>
    </font>
    <font>
      <sz val="15"/>
      <color rgb="FFFF0000"/>
      <name val="Arial"/>
      <family val="2"/>
    </font>
    <font>
      <sz val="11"/>
      <color rgb="FF0000FF"/>
      <name val="Arial"/>
      <family val="2"/>
    </font>
    <font>
      <b/>
      <sz val="15"/>
      <color rgb="FF000000"/>
      <name val="Arial"/>
      <family val="2"/>
    </font>
    <font>
      <b/>
      <sz val="14"/>
      <name val="Calibri"/>
      <family val="2"/>
      <scheme val="minor"/>
    </font>
    <font>
      <sz val="14"/>
      <name val="Calibri"/>
      <family val="2"/>
      <scheme val="minor"/>
    </font>
    <font>
      <sz val="16"/>
      <name val="Calibri"/>
      <family val="2"/>
      <scheme val="minor"/>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0">
    <xf numFmtId="0" fontId="0" fillId="0" borderId="0"/>
    <xf numFmtId="0" fontId="3" fillId="0" borderId="0"/>
    <xf numFmtId="9" fontId="5" fillId="0" borderId="0" applyFont="0" applyFill="0" applyBorder="0" applyAlignment="0" applyProtection="0"/>
    <xf numFmtId="0" fontId="6" fillId="0" borderId="0"/>
    <xf numFmtId="165" fontId="2" fillId="0" borderId="0" applyFont="0" applyFill="0" applyBorder="0" applyAlignment="0" applyProtection="0"/>
    <xf numFmtId="0" fontId="2" fillId="0" borderId="0"/>
    <xf numFmtId="0" fontId="6" fillId="0" borderId="0"/>
    <xf numFmtId="0" fontId="6" fillId="0" borderId="0"/>
    <xf numFmtId="0" fontId="2" fillId="0" borderId="0"/>
    <xf numFmtId="164" fontId="2" fillId="0" borderId="0" applyFont="0" applyFill="0" applyBorder="0" applyAlignment="0" applyProtection="0"/>
  </cellStyleXfs>
  <cellXfs count="507">
    <xf numFmtId="0" fontId="0" fillId="0" borderId="0" xfId="0"/>
    <xf numFmtId="0" fontId="1" fillId="0" borderId="0" xfId="0" applyFont="1" applyAlignment="1">
      <alignment vertical="center"/>
    </xf>
    <xf numFmtId="0" fontId="4" fillId="2" borderId="0" xfId="0" applyFont="1" applyFill="1" applyAlignment="1">
      <alignment horizontal="center" vertical="center" wrapText="1"/>
    </xf>
    <xf numFmtId="0" fontId="12" fillId="2" borderId="0" xfId="0" applyFont="1" applyFill="1" applyAlignment="1">
      <alignment horizontal="center" vertical="center" wrapText="1"/>
    </xf>
    <xf numFmtId="0" fontId="12" fillId="2" borderId="0" xfId="0" applyFont="1" applyFill="1" applyAlignment="1">
      <alignment vertical="center" wrapText="1"/>
    </xf>
    <xf numFmtId="0" fontId="13" fillId="2" borderId="2" xfId="0" applyFont="1" applyFill="1" applyBorder="1" applyAlignment="1">
      <alignment horizontal="center" vertical="center" wrapText="1"/>
    </xf>
    <xf numFmtId="0" fontId="14" fillId="0" borderId="0" xfId="0" applyFont="1" applyAlignment="1">
      <alignment vertical="center"/>
    </xf>
    <xf numFmtId="0" fontId="15" fillId="0" borderId="2" xfId="0" applyFont="1" applyBorder="1" applyAlignment="1">
      <alignment horizontal="center" vertical="center"/>
    </xf>
    <xf numFmtId="0" fontId="8" fillId="0" borderId="2" xfId="0" applyFont="1" applyBorder="1" applyAlignment="1">
      <alignment horizontal="center" vertical="center" wrapText="1"/>
    </xf>
    <xf numFmtId="0" fontId="15" fillId="0" borderId="2" xfId="0" applyFont="1" applyBorder="1" applyAlignment="1">
      <alignment horizontal="left" vertical="center" wrapText="1"/>
    </xf>
    <xf numFmtId="0" fontId="15" fillId="0" borderId="2" xfId="0" applyFont="1" applyBorder="1" applyAlignment="1">
      <alignment horizontal="center" vertical="center" wrapText="1"/>
    </xf>
    <xf numFmtId="0" fontId="16" fillId="0" borderId="2" xfId="0" applyFont="1" applyBorder="1" applyAlignment="1">
      <alignment horizontal="center" vertical="center" wrapText="1"/>
    </xf>
    <xf numFmtId="2" fontId="15" fillId="2" borderId="2" xfId="0" applyNumberFormat="1" applyFont="1" applyFill="1" applyBorder="1" applyAlignment="1">
      <alignment horizontal="right" vertical="center" wrapText="1"/>
    </xf>
    <xf numFmtId="2" fontId="15" fillId="0" borderId="2" xfId="0" applyNumberFormat="1" applyFont="1" applyBorder="1" applyAlignment="1">
      <alignment horizontal="center" vertical="center" wrapText="1"/>
    </xf>
    <xf numFmtId="0" fontId="8" fillId="2" borderId="2" xfId="0" quotePrefix="1" applyFont="1" applyFill="1" applyBorder="1" applyAlignment="1">
      <alignment horizontal="center" vertical="center" wrapText="1"/>
    </xf>
    <xf numFmtId="17" fontId="15" fillId="0" borderId="2" xfId="0" applyNumberFormat="1" applyFont="1" applyBorder="1" applyAlignment="1">
      <alignment horizontal="center" vertical="center" wrapText="1"/>
    </xf>
    <xf numFmtId="166" fontId="15" fillId="0" borderId="2" xfId="0" applyNumberFormat="1" applyFont="1" applyBorder="1" applyAlignment="1">
      <alignment vertical="center"/>
    </xf>
    <xf numFmtId="0" fontId="15" fillId="0" borderId="2" xfId="0" applyFont="1" applyBorder="1" applyAlignment="1">
      <alignment vertical="center"/>
    </xf>
    <xf numFmtId="0" fontId="15" fillId="0" borderId="0" xfId="0" applyFont="1"/>
    <xf numFmtId="0" fontId="15" fillId="0" borderId="0" xfId="0" applyFont="1" applyAlignment="1">
      <alignment horizontal="center" vertical="center" wrapText="1"/>
    </xf>
    <xf numFmtId="0" fontId="15" fillId="0" borderId="0" xfId="0" applyFont="1" applyAlignment="1">
      <alignment vertical="center"/>
    </xf>
    <xf numFmtId="17" fontId="15" fillId="2" borderId="2" xfId="0" applyNumberFormat="1" applyFont="1" applyFill="1" applyBorder="1" applyAlignment="1">
      <alignment horizontal="center" vertical="center" wrapText="1"/>
    </xf>
    <xf numFmtId="167" fontId="15" fillId="0" borderId="2" xfId="0" applyNumberFormat="1" applyFont="1" applyBorder="1" applyAlignment="1">
      <alignment horizontal="center" vertical="center" wrapText="1"/>
    </xf>
    <xf numFmtId="167" fontId="15" fillId="0" borderId="2" xfId="0" applyNumberFormat="1" applyFont="1" applyBorder="1" applyAlignment="1">
      <alignment horizontal="right" vertical="center" wrapText="1"/>
    </xf>
    <xf numFmtId="0" fontId="16" fillId="0" borderId="2" xfId="0" applyFont="1" applyBorder="1" applyAlignment="1">
      <alignment horizontal="left" vertical="center" wrapText="1"/>
    </xf>
    <xf numFmtId="164" fontId="15" fillId="0" borderId="2" xfId="9" quotePrefix="1" applyFont="1" applyBorder="1" applyAlignment="1">
      <alignment horizontal="center" vertical="center" wrapText="1"/>
    </xf>
    <xf numFmtId="17" fontId="16" fillId="0" borderId="2" xfId="0" applyNumberFormat="1" applyFont="1" applyBorder="1" applyAlignment="1">
      <alignment horizontal="center" vertical="center" wrapText="1"/>
    </xf>
    <xf numFmtId="168" fontId="15" fillId="0" borderId="2" xfId="9" quotePrefix="1" applyNumberFormat="1" applyFont="1" applyBorder="1" applyAlignment="1">
      <alignment horizontal="center" vertical="center" wrapText="1"/>
    </xf>
    <xf numFmtId="167" fontId="15" fillId="0" borderId="2" xfId="0" quotePrefix="1" applyNumberFormat="1" applyFont="1" applyBorder="1" applyAlignment="1">
      <alignment horizontal="center" vertical="center" wrapText="1"/>
    </xf>
    <xf numFmtId="2" fontId="15" fillId="2" borderId="2" xfId="0" applyNumberFormat="1" applyFont="1" applyFill="1" applyBorder="1" applyAlignment="1">
      <alignment horizontal="center" vertical="center" wrapText="1"/>
    </xf>
    <xf numFmtId="0" fontId="8" fillId="0" borderId="2" xfId="0" applyFont="1" applyBorder="1" applyAlignment="1">
      <alignment horizontal="left" vertical="center" wrapText="1"/>
    </xf>
    <xf numFmtId="0" fontId="13" fillId="2" borderId="2" xfId="0" applyFont="1" applyFill="1" applyBorder="1" applyAlignment="1">
      <alignment horizontal="left" vertical="center" wrapText="1"/>
    </xf>
    <xf numFmtId="0" fontId="13" fillId="2" borderId="2" xfId="0" applyFont="1" applyFill="1" applyBorder="1" applyAlignment="1">
      <alignment horizontal="left" vertical="center"/>
    </xf>
    <xf numFmtId="0" fontId="8" fillId="2" borderId="7" xfId="0" applyFont="1" applyFill="1" applyBorder="1" applyAlignment="1">
      <alignment horizontal="center" vertical="center" wrapText="1"/>
    </xf>
    <xf numFmtId="0" fontId="18" fillId="0" borderId="0" xfId="0" applyFont="1" applyAlignment="1">
      <alignment horizontal="left" vertical="center"/>
    </xf>
    <xf numFmtId="0" fontId="13" fillId="2" borderId="3" xfId="0" applyFont="1" applyFill="1" applyBorder="1" applyAlignment="1">
      <alignment horizontal="left" vertical="center" wrapText="1"/>
    </xf>
    <xf numFmtId="164" fontId="15" fillId="0" borderId="4" xfId="9" applyFont="1" applyBorder="1" applyAlignment="1">
      <alignment horizontal="left" vertical="center"/>
    </xf>
    <xf numFmtId="164" fontId="15" fillId="0" borderId="4" xfId="9" quotePrefix="1" applyFont="1" applyBorder="1" applyAlignment="1">
      <alignment horizontal="center" vertical="center" wrapText="1"/>
    </xf>
    <xf numFmtId="168" fontId="17" fillId="2" borderId="2" xfId="9" applyNumberFormat="1" applyFont="1" applyFill="1" applyBorder="1" applyAlignment="1">
      <alignment horizontal="center" vertical="center" wrapText="1"/>
    </xf>
    <xf numFmtId="0" fontId="19" fillId="0" borderId="2" xfId="0" applyFont="1" applyBorder="1" applyAlignment="1">
      <alignment horizontal="left" vertical="center" wrapText="1"/>
    </xf>
    <xf numFmtId="0" fontId="20" fillId="0" borderId="0" xfId="0" applyFont="1" applyAlignment="1">
      <alignment vertical="center"/>
    </xf>
    <xf numFmtId="0" fontId="19" fillId="0" borderId="2" xfId="0" applyFont="1" applyBorder="1" applyAlignment="1">
      <alignment horizontal="center" vertical="center"/>
    </xf>
    <xf numFmtId="0" fontId="22" fillId="0" borderId="2" xfId="0" applyFont="1" applyBorder="1" applyAlignment="1">
      <alignment horizontal="center" vertical="center" wrapText="1"/>
    </xf>
    <xf numFmtId="0" fontId="25" fillId="0" borderId="2" xfId="0" applyFont="1" applyBorder="1" applyAlignment="1">
      <alignment horizontal="center" vertical="center" wrapText="1"/>
    </xf>
    <xf numFmtId="17" fontId="19" fillId="0" borderId="2" xfId="0" applyNumberFormat="1" applyFont="1" applyBorder="1" applyAlignment="1">
      <alignment horizontal="center" vertical="center" wrapText="1"/>
    </xf>
    <xf numFmtId="2" fontId="19" fillId="0" borderId="2" xfId="0" applyNumberFormat="1" applyFont="1" applyBorder="1" applyAlignment="1">
      <alignment horizontal="center" vertical="center" wrapText="1"/>
    </xf>
    <xf numFmtId="0" fontId="19" fillId="0" borderId="2" xfId="0" applyFont="1" applyBorder="1" applyAlignment="1">
      <alignment horizontal="center" vertical="center" wrapText="1"/>
    </xf>
    <xf numFmtId="2" fontId="19" fillId="2" borderId="2" xfId="0" applyNumberFormat="1" applyFont="1" applyFill="1" applyBorder="1" applyAlignment="1">
      <alignment horizontal="right" vertical="center" wrapText="1"/>
    </xf>
    <xf numFmtId="0" fontId="24" fillId="2" borderId="2" xfId="0" applyFont="1" applyFill="1" applyBorder="1" applyAlignment="1">
      <alignment horizontal="center" vertical="center" wrapText="1"/>
    </xf>
    <xf numFmtId="0" fontId="23" fillId="0" borderId="0" xfId="0" applyFont="1" applyAlignment="1">
      <alignment vertical="center"/>
    </xf>
    <xf numFmtId="0" fontId="24" fillId="2" borderId="0" xfId="0" applyFont="1" applyFill="1" applyAlignment="1">
      <alignment horizontal="left" vertical="center"/>
    </xf>
    <xf numFmtId="0" fontId="24" fillId="2" borderId="0" xfId="0" applyFont="1" applyFill="1" applyAlignment="1">
      <alignment horizontal="center" vertical="center" wrapText="1"/>
    </xf>
    <xf numFmtId="0" fontId="20" fillId="0" borderId="0" xfId="0" applyFont="1"/>
    <xf numFmtId="0" fontId="27" fillId="2" borderId="2" xfId="0" applyFont="1" applyFill="1" applyBorder="1" applyAlignment="1">
      <alignment horizontal="center" vertical="center" wrapText="1"/>
    </xf>
    <xf numFmtId="0" fontId="7" fillId="0" borderId="0" xfId="0" applyFont="1" applyAlignment="1">
      <alignment vertical="center"/>
    </xf>
    <xf numFmtId="166" fontId="19" fillId="0" borderId="2" xfId="0" applyNumberFormat="1" applyFont="1" applyBorder="1" applyAlignment="1">
      <alignment vertical="center"/>
    </xf>
    <xf numFmtId="0" fontId="13" fillId="2" borderId="11" xfId="0" applyFont="1" applyFill="1" applyBorder="1" applyAlignment="1">
      <alignment horizontal="left" vertical="center" wrapText="1"/>
    </xf>
    <xf numFmtId="0" fontId="13" fillId="2" borderId="5" xfId="0" applyFont="1" applyFill="1" applyBorder="1" applyAlignment="1">
      <alignment horizontal="left" vertical="center" wrapText="1"/>
    </xf>
    <xf numFmtId="164" fontId="19" fillId="0" borderId="2" xfId="9" applyFont="1" applyBorder="1" applyAlignment="1">
      <alignment horizontal="center" vertical="center" wrapText="1"/>
    </xf>
    <xf numFmtId="0" fontId="1" fillId="0" borderId="0" xfId="0" applyFont="1" applyAlignment="1">
      <alignment horizontal="center" vertical="center" wrapText="1"/>
    </xf>
    <xf numFmtId="0" fontId="15" fillId="2" borderId="2" xfId="0" quotePrefix="1" applyFont="1" applyFill="1" applyBorder="1" applyAlignment="1">
      <alignment horizontal="center" vertical="center" wrapText="1"/>
    </xf>
    <xf numFmtId="0" fontId="15" fillId="0" borderId="2" xfId="0" applyFont="1" applyBorder="1"/>
    <xf numFmtId="164" fontId="19" fillId="0" borderId="2" xfId="9" quotePrefix="1" applyFont="1" applyBorder="1" applyAlignment="1">
      <alignment horizontal="center" vertical="center" wrapText="1"/>
    </xf>
    <xf numFmtId="164" fontId="19" fillId="0" borderId="2" xfId="9" applyFont="1" applyBorder="1" applyAlignment="1">
      <alignment horizontal="left" vertical="center"/>
    </xf>
    <xf numFmtId="17" fontId="25" fillId="0" borderId="2" xfId="0" applyNumberFormat="1" applyFont="1" applyBorder="1" applyAlignment="1">
      <alignment horizontal="center" vertical="center" wrapText="1"/>
    </xf>
    <xf numFmtId="164" fontId="19" fillId="0" borderId="2" xfId="9" applyFont="1" applyBorder="1" applyAlignment="1">
      <alignment vertical="center"/>
    </xf>
    <xf numFmtId="0" fontId="19" fillId="0" borderId="0" xfId="0" applyFont="1"/>
    <xf numFmtId="0" fontId="19" fillId="0" borderId="0" xfId="0" applyFont="1" applyAlignment="1">
      <alignment horizontal="center" vertical="center" wrapText="1"/>
    </xf>
    <xf numFmtId="164" fontId="19" fillId="0" borderId="0" xfId="9" quotePrefix="1" applyFont="1" applyBorder="1" applyAlignment="1">
      <alignment horizontal="center" vertical="center" wrapText="1"/>
    </xf>
    <xf numFmtId="164" fontId="19" fillId="0" borderId="4" xfId="9" applyFont="1" applyBorder="1" applyAlignment="1">
      <alignment horizontal="left" vertical="center"/>
    </xf>
    <xf numFmtId="164" fontId="19" fillId="0" borderId="4" xfId="9" quotePrefix="1" applyFont="1" applyBorder="1" applyAlignment="1">
      <alignment horizontal="center" vertical="center" wrapText="1"/>
    </xf>
    <xf numFmtId="0" fontId="19" fillId="0" borderId="2" xfId="0" applyFont="1" applyBorder="1" applyAlignment="1">
      <alignment vertical="center"/>
    </xf>
    <xf numFmtId="0" fontId="28" fillId="0" borderId="0" xfId="0" applyFont="1" applyAlignment="1">
      <alignment vertical="center"/>
    </xf>
    <xf numFmtId="0" fontId="26" fillId="0" borderId="0" xfId="0" applyFont="1" applyAlignment="1">
      <alignment horizontal="left" vertical="center"/>
    </xf>
    <xf numFmtId="0" fontId="13" fillId="2" borderId="3" xfId="0" applyFont="1" applyFill="1" applyBorder="1" applyAlignment="1">
      <alignment horizontal="center" vertical="center" wrapText="1"/>
    </xf>
    <xf numFmtId="0" fontId="13" fillId="2" borderId="5" xfId="0" applyFont="1" applyFill="1" applyBorder="1" applyAlignment="1">
      <alignment horizontal="center" vertical="center" wrapText="1"/>
    </xf>
    <xf numFmtId="164" fontId="15" fillId="0" borderId="3" xfId="9" quotePrefix="1" applyFont="1" applyBorder="1" applyAlignment="1">
      <alignment horizontal="center" vertical="center" wrapText="1"/>
    </xf>
    <xf numFmtId="164" fontId="15" fillId="0" borderId="11" xfId="9" quotePrefix="1" applyFont="1" applyBorder="1" applyAlignment="1">
      <alignment horizontal="center" vertical="center" wrapText="1"/>
    </xf>
    <xf numFmtId="164" fontId="15" fillId="0" borderId="5" xfId="9" quotePrefix="1" applyFont="1" applyBorder="1" applyAlignment="1">
      <alignment horizontal="center" vertical="center" wrapText="1"/>
    </xf>
    <xf numFmtId="166" fontId="29" fillId="0" borderId="2" xfId="0" applyNumberFormat="1" applyFont="1" applyBorder="1" applyAlignment="1">
      <alignment vertical="center"/>
    </xf>
    <xf numFmtId="0" fontId="24" fillId="2" borderId="3"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5" xfId="0" applyFont="1" applyFill="1" applyBorder="1" applyAlignment="1">
      <alignment horizontal="left" vertical="center"/>
    </xf>
    <xf numFmtId="0" fontId="22" fillId="2" borderId="7" xfId="0" applyFont="1" applyFill="1" applyBorder="1" applyAlignment="1">
      <alignment horizontal="center" vertical="center" wrapText="1"/>
    </xf>
    <xf numFmtId="0" fontId="30" fillId="0" borderId="0" xfId="0" applyFont="1" applyAlignment="1">
      <alignment vertical="center"/>
    </xf>
    <xf numFmtId="0" fontId="32" fillId="0" borderId="0" xfId="0" applyFont="1" applyAlignment="1">
      <alignment horizontal="left" vertical="center"/>
    </xf>
    <xf numFmtId="0" fontId="33" fillId="0" borderId="0" xfId="1" applyFont="1" applyAlignment="1">
      <alignment horizontal="left" vertical="center"/>
    </xf>
    <xf numFmtId="0" fontId="33" fillId="0" borderId="0" xfId="1" applyFont="1" applyAlignment="1">
      <alignment vertical="center" wrapText="1"/>
    </xf>
    <xf numFmtId="0" fontId="33" fillId="0" borderId="0" xfId="1" applyFont="1" applyAlignment="1">
      <alignment horizontal="center" vertical="center" wrapText="1"/>
    </xf>
    <xf numFmtId="0" fontId="31" fillId="0" borderId="0" xfId="1" applyFont="1" applyAlignment="1">
      <alignment horizontal="right" vertical="center" wrapText="1"/>
    </xf>
    <xf numFmtId="0" fontId="31" fillId="0" borderId="0" xfId="1" applyFont="1" applyAlignment="1">
      <alignment horizontal="right" vertical="center"/>
    </xf>
    <xf numFmtId="0" fontId="34" fillId="2" borderId="0" xfId="0" applyFont="1" applyFill="1" applyAlignment="1">
      <alignment horizontal="center" vertical="center"/>
    </xf>
    <xf numFmtId="0" fontId="33" fillId="0" borderId="0" xfId="1" applyFont="1" applyAlignment="1">
      <alignment horizontal="right" vertical="center" wrapText="1"/>
    </xf>
    <xf numFmtId="0" fontId="33" fillId="0" borderId="2" xfId="1" applyFont="1" applyBorder="1" applyAlignment="1">
      <alignment horizontal="center" vertical="center" wrapText="1"/>
    </xf>
    <xf numFmtId="0" fontId="36" fillId="0" borderId="2" xfId="0" applyFont="1" applyBorder="1" applyAlignment="1">
      <alignment horizontal="center" vertical="center"/>
    </xf>
    <xf numFmtId="0" fontId="33" fillId="0" borderId="2" xfId="0" applyFont="1" applyBorder="1" applyAlignment="1">
      <alignment horizontal="center" vertical="center" wrapText="1"/>
    </xf>
    <xf numFmtId="0" fontId="36" fillId="0" borderId="2" xfId="0" applyFont="1" applyBorder="1" applyAlignment="1">
      <alignment horizontal="left" vertical="center" wrapText="1"/>
    </xf>
    <xf numFmtId="0" fontId="36" fillId="0" borderId="2" xfId="0" applyFont="1" applyBorder="1" applyAlignment="1">
      <alignment horizontal="center" vertical="center" wrapText="1"/>
    </xf>
    <xf numFmtId="0" fontId="37" fillId="0" borderId="2" xfId="0" applyFont="1" applyBorder="1" applyAlignment="1">
      <alignment horizontal="center" vertical="center" wrapText="1"/>
    </xf>
    <xf numFmtId="0" fontId="35" fillId="0" borderId="2" xfId="1" quotePrefix="1" applyFont="1" applyBorder="1" applyAlignment="1">
      <alignment horizontal="center" vertical="center" wrapText="1"/>
    </xf>
    <xf numFmtId="2" fontId="36" fillId="2" borderId="2" xfId="0" applyNumberFormat="1" applyFont="1" applyFill="1" applyBorder="1" applyAlignment="1">
      <alignment horizontal="right" vertical="center" wrapText="1"/>
    </xf>
    <xf numFmtId="0" fontId="36" fillId="0" borderId="2" xfId="0" applyFont="1" applyBorder="1"/>
    <xf numFmtId="166" fontId="36" fillId="0" borderId="2" xfId="0" applyNumberFormat="1" applyFont="1" applyBorder="1" applyAlignment="1">
      <alignment vertical="center"/>
    </xf>
    <xf numFmtId="166" fontId="36" fillId="0" borderId="2" xfId="0" applyNumberFormat="1" applyFont="1" applyBorder="1" applyAlignment="1">
      <alignment horizontal="center" vertical="center"/>
    </xf>
    <xf numFmtId="0" fontId="35" fillId="0" borderId="2" xfId="1" applyFont="1" applyBorder="1" applyAlignment="1">
      <alignment horizontal="center" vertical="center" wrapText="1"/>
    </xf>
    <xf numFmtId="0" fontId="36" fillId="0" borderId="0" xfId="0" applyFont="1"/>
    <xf numFmtId="0" fontId="36" fillId="0" borderId="2" xfId="0" applyFont="1" applyBorder="1" applyAlignment="1">
      <alignment vertical="center" wrapText="1"/>
    </xf>
    <xf numFmtId="0" fontId="38" fillId="2" borderId="3" xfId="0" applyFont="1" applyFill="1" applyBorder="1" applyAlignment="1">
      <alignment horizontal="left" vertical="center"/>
    </xf>
    <xf numFmtId="0" fontId="38" fillId="2" borderId="11" xfId="0" applyFont="1" applyFill="1" applyBorder="1" applyAlignment="1">
      <alignment horizontal="left" vertical="center"/>
    </xf>
    <xf numFmtId="0" fontId="38" fillId="2" borderId="5" xfId="0" applyFont="1" applyFill="1" applyBorder="1" applyAlignment="1">
      <alignment horizontal="left" vertical="center"/>
    </xf>
    <xf numFmtId="0" fontId="38" fillId="2" borderId="2" xfId="0" applyFont="1" applyFill="1" applyBorder="1" applyAlignment="1">
      <alignment horizontal="center" vertical="center" wrapText="1"/>
    </xf>
    <xf numFmtId="0" fontId="31" fillId="0" borderId="2" xfId="1" applyFont="1" applyBorder="1" applyAlignment="1">
      <alignment horizontal="center" vertical="center" wrapText="1"/>
    </xf>
    <xf numFmtId="0" fontId="39" fillId="0" borderId="0" xfId="0" applyFont="1" applyAlignment="1">
      <alignment vertical="center"/>
    </xf>
    <xf numFmtId="0" fontId="38" fillId="2" borderId="0" xfId="0" applyFont="1" applyFill="1" applyAlignment="1">
      <alignment horizontal="left" vertical="center"/>
    </xf>
    <xf numFmtId="0" fontId="38" fillId="2" borderId="0" xfId="0" applyFont="1" applyFill="1" applyAlignment="1">
      <alignment horizontal="center" vertical="center" wrapText="1"/>
    </xf>
    <xf numFmtId="0" fontId="31" fillId="0" borderId="0" xfId="1" applyFont="1" applyAlignment="1">
      <alignment horizontal="center" vertical="center" wrapText="1"/>
    </xf>
    <xf numFmtId="0" fontId="30" fillId="0" borderId="0" xfId="0" applyFont="1" applyAlignment="1">
      <alignment horizontal="center" vertical="center"/>
    </xf>
    <xf numFmtId="0" fontId="30" fillId="0" borderId="0" xfId="0" applyFont="1"/>
    <xf numFmtId="0" fontId="30" fillId="0" borderId="0" xfId="0" applyFont="1" applyAlignment="1">
      <alignment horizontal="center"/>
    </xf>
    <xf numFmtId="0" fontId="22" fillId="2" borderId="6"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0" xfId="0" applyFont="1" applyFill="1" applyAlignment="1">
      <alignment horizontal="center" vertical="center" wrapText="1"/>
    </xf>
    <xf numFmtId="0" fontId="19" fillId="0" borderId="3" xfId="0" applyFont="1" applyBorder="1" applyAlignment="1">
      <alignment horizontal="center" vertical="center"/>
    </xf>
    <xf numFmtId="0" fontId="41" fillId="0" borderId="0" xfId="0" applyFont="1" applyAlignment="1">
      <alignment vertical="center"/>
    </xf>
    <xf numFmtId="0" fontId="24" fillId="2" borderId="2" xfId="0" applyFont="1" applyFill="1" applyBorder="1" applyAlignment="1">
      <alignment horizontal="left" vertical="center"/>
    </xf>
    <xf numFmtId="0" fontId="41" fillId="0" borderId="0" xfId="0" applyFont="1" applyAlignment="1">
      <alignment vertical="top"/>
    </xf>
    <xf numFmtId="0" fontId="22" fillId="2" borderId="2" xfId="0" quotePrefix="1"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2" xfId="0" applyFont="1" applyFill="1" applyBorder="1" applyAlignment="1">
      <alignment horizontal="left" vertical="center" wrapText="1"/>
    </xf>
    <xf numFmtId="0" fontId="25" fillId="2" borderId="2" xfId="0" quotePrefix="1" applyFont="1" applyFill="1" applyBorder="1" applyAlignment="1">
      <alignment horizontal="center" vertical="center" wrapText="1"/>
    </xf>
    <xf numFmtId="167" fontId="25" fillId="2" borderId="2" xfId="0" applyNumberFormat="1" applyFont="1" applyFill="1" applyBorder="1" applyAlignment="1">
      <alignment horizontal="center" vertical="center" wrapText="1"/>
    </xf>
    <xf numFmtId="164" fontId="25" fillId="0" borderId="2" xfId="9" applyFont="1" applyFill="1" applyBorder="1" applyAlignment="1">
      <alignment horizontal="center" vertical="center" wrapText="1"/>
    </xf>
    <xf numFmtId="0" fontId="25" fillId="0" borderId="0" xfId="0" applyFont="1"/>
    <xf numFmtId="0" fontId="41" fillId="0" borderId="2" xfId="0" applyFont="1" applyBorder="1" applyAlignment="1">
      <alignment vertical="top"/>
    </xf>
    <xf numFmtId="0" fontId="42" fillId="0" borderId="0" xfId="0" applyFont="1"/>
    <xf numFmtId="0" fontId="41" fillId="0" borderId="2" xfId="0" applyFont="1" applyBorder="1" applyAlignment="1">
      <alignment vertical="center"/>
    </xf>
    <xf numFmtId="0" fontId="43" fillId="0" borderId="2" xfId="0" applyFont="1" applyBorder="1" applyAlignment="1">
      <alignment horizontal="center" vertical="center" wrapText="1"/>
    </xf>
    <xf numFmtId="0" fontId="25" fillId="2" borderId="3" xfId="0" quotePrefix="1" applyFont="1" applyFill="1" applyBorder="1" applyAlignment="1">
      <alignment horizontal="center" vertical="center" wrapText="1"/>
    </xf>
    <xf numFmtId="0" fontId="17" fillId="2" borderId="4" xfId="0" applyFont="1" applyFill="1" applyBorder="1" applyAlignment="1">
      <alignment horizontal="center" vertical="center" wrapText="1"/>
    </xf>
    <xf numFmtId="0" fontId="40" fillId="2" borderId="2" xfId="0" applyFont="1" applyFill="1" applyBorder="1" applyAlignment="1">
      <alignment horizontal="left" vertical="center" wrapText="1"/>
    </xf>
    <xf numFmtId="0" fontId="20" fillId="0" borderId="2" xfId="0" applyFont="1" applyBorder="1" applyAlignment="1">
      <alignment vertical="center"/>
    </xf>
    <xf numFmtId="0" fontId="42" fillId="0" borderId="0" xfId="0" applyFont="1" applyAlignment="1">
      <alignment vertical="center"/>
    </xf>
    <xf numFmtId="0" fontId="19" fillId="0" borderId="0" xfId="0" applyFont="1" applyAlignment="1">
      <alignment vertical="center"/>
    </xf>
    <xf numFmtId="0" fontId="44" fillId="0" borderId="2" xfId="0" applyFont="1" applyBorder="1" applyAlignment="1">
      <alignment vertical="center"/>
    </xf>
    <xf numFmtId="0" fontId="44" fillId="0" borderId="0" xfId="0" applyFont="1" applyAlignment="1">
      <alignment vertical="center"/>
    </xf>
    <xf numFmtId="0" fontId="22" fillId="2" borderId="4" xfId="0" applyFont="1" applyFill="1" applyBorder="1" applyAlignment="1">
      <alignment horizontal="center" vertical="center" wrapText="1"/>
    </xf>
    <xf numFmtId="0" fontId="17" fillId="2" borderId="3" xfId="0" applyFont="1" applyFill="1" applyBorder="1" applyAlignment="1">
      <alignment horizontal="left" vertical="center"/>
    </xf>
    <xf numFmtId="0" fontId="17" fillId="2" borderId="11" xfId="0" applyFont="1" applyFill="1" applyBorder="1" applyAlignment="1">
      <alignment horizontal="left" vertical="center"/>
    </xf>
    <xf numFmtId="0" fontId="17" fillId="2" borderId="5" xfId="0" applyFont="1" applyFill="1" applyBorder="1" applyAlignment="1">
      <alignment horizontal="left" vertical="center"/>
    </xf>
    <xf numFmtId="164" fontId="15" fillId="0" borderId="2" xfId="9" applyFont="1" applyBorder="1" applyAlignment="1">
      <alignment horizontal="center" vertical="center" wrapText="1"/>
    </xf>
    <xf numFmtId="0" fontId="13" fillId="2" borderId="3" xfId="0" applyFont="1" applyFill="1" applyBorder="1" applyAlignment="1">
      <alignment horizontal="left" vertical="center"/>
    </xf>
    <xf numFmtId="0" fontId="13" fillId="2" borderId="11" xfId="0" applyFont="1" applyFill="1" applyBorder="1" applyAlignment="1">
      <alignment horizontal="left" vertical="center"/>
    </xf>
    <xf numFmtId="0" fontId="13" fillId="2" borderId="5" xfId="0" applyFont="1" applyFill="1" applyBorder="1" applyAlignment="1">
      <alignment horizontal="left" vertical="center"/>
    </xf>
    <xf numFmtId="168" fontId="25" fillId="0" borderId="2" xfId="9" applyNumberFormat="1" applyFont="1" applyFill="1" applyBorder="1" applyAlignment="1">
      <alignment horizontal="center" vertical="center" wrapText="1"/>
    </xf>
    <xf numFmtId="0" fontId="40" fillId="2" borderId="2"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25" fillId="2" borderId="6" xfId="0" quotePrefix="1" applyFont="1" applyFill="1" applyBorder="1" applyAlignment="1">
      <alignment horizontal="center" vertical="center" wrapText="1"/>
    </xf>
    <xf numFmtId="0" fontId="25" fillId="2" borderId="6" xfId="0" applyFont="1" applyFill="1" applyBorder="1" applyAlignment="1">
      <alignment horizontal="left" vertical="center" wrapText="1"/>
    </xf>
    <xf numFmtId="167" fontId="25" fillId="2" borderId="6" xfId="0" applyNumberFormat="1" applyFont="1" applyFill="1" applyBorder="1" applyAlignment="1">
      <alignment horizontal="center" vertical="center" wrapText="1"/>
    </xf>
    <xf numFmtId="164" fontId="25" fillId="0" borderId="6" xfId="9" applyFont="1" applyFill="1" applyBorder="1" applyAlignment="1">
      <alignment horizontal="center" vertical="center" wrapText="1"/>
    </xf>
    <xf numFmtId="164" fontId="24" fillId="2" borderId="2" xfId="9" applyFont="1" applyFill="1" applyBorder="1" applyAlignment="1">
      <alignment horizontal="left" vertical="center" wrapText="1"/>
    </xf>
    <xf numFmtId="0" fontId="15" fillId="0" borderId="6" xfId="0" applyFont="1" applyBorder="1" applyAlignment="1">
      <alignment horizontal="center" vertical="center"/>
    </xf>
    <xf numFmtId="0" fontId="25" fillId="2" borderId="9" xfId="0" quotePrefix="1" applyFont="1" applyFill="1" applyBorder="1" applyAlignment="1">
      <alignment horizontal="center" vertical="center" wrapText="1"/>
    </xf>
    <xf numFmtId="0" fontId="22" fillId="2" borderId="10" xfId="0" applyFont="1" applyFill="1" applyBorder="1" applyAlignment="1">
      <alignment horizontal="center" vertical="center" wrapText="1"/>
    </xf>
    <xf numFmtId="164" fontId="24" fillId="2" borderId="6" xfId="9" applyFont="1" applyFill="1" applyBorder="1" applyAlignment="1">
      <alignment horizontal="left" vertical="center" wrapText="1"/>
    </xf>
    <xf numFmtId="0" fontId="19" fillId="0" borderId="6" xfId="0" applyFont="1" applyBorder="1" applyAlignment="1">
      <alignment horizontal="center" vertical="center" wrapText="1"/>
    </xf>
    <xf numFmtId="0" fontId="46" fillId="0" borderId="0" xfId="0" applyFont="1" applyAlignment="1">
      <alignment vertical="center"/>
    </xf>
    <xf numFmtId="0" fontId="47" fillId="2" borderId="0" xfId="0" applyFont="1" applyFill="1" applyAlignment="1">
      <alignment horizontal="center" vertical="center" wrapText="1"/>
    </xf>
    <xf numFmtId="0" fontId="48" fillId="2" borderId="2" xfId="0" applyFont="1" applyFill="1" applyBorder="1" applyAlignment="1">
      <alignment horizontal="center" vertical="center" wrapText="1"/>
    </xf>
    <xf numFmtId="0" fontId="49" fillId="2" borderId="2" xfId="0" applyFont="1" applyFill="1" applyBorder="1" applyAlignment="1">
      <alignment horizontal="left" vertical="center"/>
    </xf>
    <xf numFmtId="164" fontId="29" fillId="0" borderId="2" xfId="9" quotePrefix="1" applyFont="1" applyBorder="1" applyAlignment="1">
      <alignment horizontal="center" vertical="center" wrapText="1"/>
    </xf>
    <xf numFmtId="0" fontId="49" fillId="2" borderId="2" xfId="0" applyFont="1" applyFill="1" applyBorder="1" applyAlignment="1">
      <alignment horizontal="left" vertical="center" wrapText="1"/>
    </xf>
    <xf numFmtId="0" fontId="49" fillId="2" borderId="2" xfId="0" applyFont="1" applyFill="1" applyBorder="1" applyAlignment="1">
      <alignment horizontal="center" vertical="center" wrapText="1"/>
    </xf>
    <xf numFmtId="0" fontId="50" fillId="2" borderId="0" xfId="0" applyFont="1" applyFill="1" applyAlignment="1">
      <alignment horizontal="center" vertical="center" wrapText="1"/>
    </xf>
    <xf numFmtId="0" fontId="7" fillId="2" borderId="2" xfId="0" applyFont="1" applyFill="1" applyBorder="1" applyAlignment="1">
      <alignment horizontal="center" vertical="center" wrapText="1"/>
    </xf>
    <xf numFmtId="0" fontId="51" fillId="2" borderId="2" xfId="0" applyFont="1" applyFill="1" applyBorder="1" applyAlignment="1">
      <alignment horizontal="left" vertical="center"/>
    </xf>
    <xf numFmtId="0" fontId="51" fillId="2" borderId="2" xfId="0" applyFont="1" applyFill="1" applyBorder="1" applyAlignment="1">
      <alignment horizontal="left" vertical="center" wrapText="1"/>
    </xf>
    <xf numFmtId="0" fontId="51" fillId="2" borderId="2" xfId="0" applyFont="1" applyFill="1" applyBorder="1" applyAlignment="1">
      <alignment horizontal="center" vertical="center" wrapText="1"/>
    </xf>
    <xf numFmtId="170" fontId="1" fillId="0" borderId="0" xfId="9" applyNumberFormat="1" applyFont="1" applyAlignment="1">
      <alignment vertical="center"/>
    </xf>
    <xf numFmtId="170" fontId="7" fillId="0" borderId="0" xfId="9" applyNumberFormat="1" applyFont="1" applyAlignment="1">
      <alignment vertical="center"/>
    </xf>
    <xf numFmtId="170" fontId="14" fillId="0" borderId="0" xfId="9" applyNumberFormat="1" applyFont="1" applyAlignment="1">
      <alignment vertical="center"/>
    </xf>
    <xf numFmtId="170" fontId="15" fillId="0" borderId="2" xfId="9" applyNumberFormat="1" applyFont="1" applyBorder="1" applyAlignment="1">
      <alignment vertical="center"/>
    </xf>
    <xf numFmtId="170" fontId="29" fillId="0" borderId="2" xfId="9" applyNumberFormat="1" applyFont="1" applyBorder="1" applyAlignment="1">
      <alignment vertical="center"/>
    </xf>
    <xf numFmtId="9" fontId="15" fillId="0" borderId="2" xfId="0" applyNumberFormat="1" applyFont="1" applyBorder="1" applyAlignment="1">
      <alignment vertical="center"/>
    </xf>
    <xf numFmtId="0" fontId="19" fillId="2" borderId="4" xfId="0" applyFont="1" applyFill="1" applyBorder="1" applyAlignment="1">
      <alignment horizontal="center" vertical="center" wrapText="1"/>
    </xf>
    <xf numFmtId="0" fontId="52" fillId="2" borderId="4" xfId="0" applyFont="1" applyFill="1" applyBorder="1" applyAlignment="1">
      <alignment horizontal="center" wrapText="1"/>
    </xf>
    <xf numFmtId="0" fontId="52" fillId="2" borderId="7" xfId="0" applyFont="1" applyFill="1" applyBorder="1" applyAlignment="1">
      <alignment horizontal="center" vertical="center" wrapText="1"/>
    </xf>
    <xf numFmtId="171" fontId="19" fillId="0" borderId="2" xfId="9" quotePrefix="1" applyNumberFormat="1" applyFont="1" applyBorder="1" applyAlignment="1">
      <alignment horizontal="center" vertical="center" wrapText="1"/>
    </xf>
    <xf numFmtId="9" fontId="19" fillId="0" borderId="2" xfId="9" quotePrefix="1" applyNumberFormat="1" applyFont="1" applyBorder="1" applyAlignment="1">
      <alignment horizontal="center" vertical="center" wrapText="1"/>
    </xf>
    <xf numFmtId="0" fontId="56" fillId="0" borderId="0" xfId="0" applyFont="1" applyAlignment="1">
      <alignment horizontal="left" vertical="center"/>
    </xf>
    <xf numFmtId="0" fontId="53" fillId="0" borderId="0" xfId="1" applyFont="1" applyAlignment="1">
      <alignment horizontal="left" vertical="center"/>
    </xf>
    <xf numFmtId="0" fontId="53" fillId="0" borderId="0" xfId="1" applyFont="1" applyAlignment="1">
      <alignment vertical="center" wrapText="1"/>
    </xf>
    <xf numFmtId="0" fontId="53" fillId="0" borderId="0" xfId="1" applyFont="1" applyAlignment="1">
      <alignment horizontal="center" vertical="center" wrapText="1"/>
    </xf>
    <xf numFmtId="0" fontId="55" fillId="0" borderId="0" xfId="1" applyFont="1" applyAlignment="1">
      <alignment horizontal="right" vertical="center" wrapText="1"/>
    </xf>
    <xf numFmtId="0" fontId="55" fillId="0" borderId="0" xfId="1" applyFont="1" applyAlignment="1">
      <alignment horizontal="right" vertical="center"/>
    </xf>
    <xf numFmtId="0" fontId="57" fillId="2" borderId="0" xfId="0" applyFont="1" applyFill="1" applyAlignment="1">
      <alignment horizontal="center" vertical="center"/>
    </xf>
    <xf numFmtId="17" fontId="36" fillId="0" borderId="2" xfId="0" quotePrefix="1" applyNumberFormat="1" applyFont="1" applyBorder="1" applyAlignment="1">
      <alignment horizontal="center" vertical="center" wrapText="1"/>
    </xf>
    <xf numFmtId="166" fontId="35" fillId="0" borderId="2" xfId="1" applyNumberFormat="1" applyFont="1" applyBorder="1" applyAlignment="1">
      <alignment horizontal="center" vertical="center" wrapText="1"/>
    </xf>
    <xf numFmtId="164" fontId="40" fillId="2" borderId="2" xfId="9" applyFont="1" applyFill="1" applyBorder="1" applyAlignment="1">
      <alignment horizontal="left" vertical="center" wrapText="1"/>
    </xf>
    <xf numFmtId="164" fontId="24" fillId="2" borderId="2" xfId="0" applyNumberFormat="1" applyFont="1" applyFill="1" applyBorder="1" applyAlignment="1">
      <alignment horizontal="center" vertical="center" wrapText="1"/>
    </xf>
    <xf numFmtId="164" fontId="40" fillId="2" borderId="2" xfId="0" applyNumberFormat="1" applyFont="1" applyFill="1" applyBorder="1" applyAlignment="1">
      <alignment horizontal="center" vertical="center" wrapText="1"/>
    </xf>
    <xf numFmtId="164" fontId="40" fillId="2" borderId="6" xfId="0" applyNumberFormat="1" applyFont="1" applyFill="1" applyBorder="1" applyAlignment="1">
      <alignment horizontal="center" vertical="center" wrapText="1"/>
    </xf>
    <xf numFmtId="164" fontId="45" fillId="2" borderId="2" xfId="9" applyFont="1" applyFill="1" applyBorder="1" applyAlignment="1">
      <alignment horizontal="center" vertical="center" wrapText="1"/>
    </xf>
    <xf numFmtId="0" fontId="38" fillId="2" borderId="11" xfId="0" applyFont="1" applyFill="1" applyBorder="1" applyAlignment="1">
      <alignment horizontal="left" vertical="center" wrapText="1"/>
    </xf>
    <xf numFmtId="0" fontId="38" fillId="2" borderId="2" xfId="0" applyFont="1" applyFill="1" applyBorder="1" applyAlignment="1">
      <alignment horizontal="left" vertical="center" wrapText="1"/>
    </xf>
    <xf numFmtId="0" fontId="38" fillId="2" borderId="11" xfId="0" applyFont="1" applyFill="1" applyBorder="1" applyAlignment="1">
      <alignment horizontal="center" vertical="center" wrapText="1"/>
    </xf>
    <xf numFmtId="0" fontId="38" fillId="2" borderId="5" xfId="0" applyFont="1" applyFill="1" applyBorder="1" applyAlignment="1">
      <alignment horizontal="center" vertical="center" wrapText="1"/>
    </xf>
    <xf numFmtId="17" fontId="36" fillId="0" borderId="2" xfId="0" applyNumberFormat="1" applyFont="1" applyBorder="1" applyAlignment="1">
      <alignment horizontal="center" vertical="center" wrapText="1"/>
    </xf>
    <xf numFmtId="17" fontId="33" fillId="0" borderId="2" xfId="1" applyNumberFormat="1" applyFont="1" applyBorder="1" applyAlignment="1">
      <alignment horizontal="center" vertical="center" wrapText="1"/>
    </xf>
    <xf numFmtId="2" fontId="36" fillId="0" borderId="2" xfId="0" applyNumberFormat="1" applyFont="1" applyBorder="1" applyAlignment="1">
      <alignment horizontal="center" vertical="center" wrapText="1"/>
    </xf>
    <xf numFmtId="167" fontId="36" fillId="0" borderId="2" xfId="0" applyNumberFormat="1" applyFont="1" applyBorder="1" applyAlignment="1">
      <alignment horizontal="right" vertical="center" wrapText="1"/>
    </xf>
    <xf numFmtId="2" fontId="35" fillId="0" borderId="2" xfId="1" applyNumberFormat="1" applyFont="1" applyBorder="1" applyAlignment="1">
      <alignment horizontal="center" vertical="center" wrapText="1"/>
    </xf>
    <xf numFmtId="2" fontId="36" fillId="0" borderId="2" xfId="0" applyNumberFormat="1" applyFont="1" applyBorder="1" applyAlignment="1">
      <alignment horizontal="right" vertical="center" wrapText="1"/>
    </xf>
    <xf numFmtId="0" fontId="36" fillId="0" borderId="1" xfId="0" applyFont="1" applyBorder="1" applyAlignment="1">
      <alignment vertical="center" wrapText="1"/>
    </xf>
    <xf numFmtId="17" fontId="36" fillId="2" borderId="2" xfId="0" applyNumberFormat="1" applyFont="1" applyFill="1" applyBorder="1" applyAlignment="1">
      <alignment horizontal="center" vertical="center" wrapText="1"/>
    </xf>
    <xf numFmtId="164" fontId="36" fillId="0" borderId="2" xfId="9" applyFont="1" applyBorder="1" applyAlignment="1">
      <alignment horizontal="right" vertical="center" wrapText="1"/>
    </xf>
    <xf numFmtId="167" fontId="36" fillId="0" borderId="3" xfId="0" applyNumberFormat="1" applyFont="1" applyBorder="1" applyAlignment="1">
      <alignment horizontal="right" vertical="center" wrapText="1"/>
    </xf>
    <xf numFmtId="0" fontId="33" fillId="0" borderId="4" xfId="0" applyFont="1" applyBorder="1" applyAlignment="1">
      <alignment horizontal="center" vertical="center" wrapText="1"/>
    </xf>
    <xf numFmtId="0" fontId="36" fillId="0" borderId="4" xfId="0" applyFont="1" applyBorder="1" applyAlignment="1">
      <alignment horizontal="center" vertical="center" wrapText="1"/>
    </xf>
    <xf numFmtId="17" fontId="36" fillId="0" borderId="4" xfId="0" applyNumberFormat="1" applyFont="1" applyBorder="1" applyAlignment="1">
      <alignment horizontal="center" vertical="center" wrapText="1"/>
    </xf>
    <xf numFmtId="2" fontId="33" fillId="0" borderId="2" xfId="1" applyNumberFormat="1" applyFont="1" applyBorder="1" applyAlignment="1">
      <alignment horizontal="center" vertical="center" wrapText="1"/>
    </xf>
    <xf numFmtId="2" fontId="36" fillId="2" borderId="2" xfId="0" applyNumberFormat="1" applyFont="1" applyFill="1" applyBorder="1" applyAlignment="1">
      <alignment horizontal="center" vertical="center" wrapText="1"/>
    </xf>
    <xf numFmtId="167" fontId="36" fillId="0" borderId="8" xfId="0" quotePrefix="1" applyNumberFormat="1" applyFont="1" applyBorder="1" applyAlignment="1">
      <alignment horizontal="center" vertical="center" wrapText="1"/>
    </xf>
    <xf numFmtId="17" fontId="59" fillId="0" borderId="2" xfId="0" applyNumberFormat="1" applyFont="1" applyBorder="1" applyAlignment="1">
      <alignment horizontal="center" vertical="center" wrapText="1"/>
    </xf>
    <xf numFmtId="1" fontId="35" fillId="0" borderId="2" xfId="1" applyNumberFormat="1" applyFont="1" applyBorder="1" applyAlignment="1">
      <alignment horizontal="center" vertical="center" wrapText="1"/>
    </xf>
    <xf numFmtId="17" fontId="37" fillId="0" borderId="2" xfId="0" applyNumberFormat="1" applyFont="1" applyBorder="1" applyAlignment="1">
      <alignment horizontal="center" vertical="center" wrapText="1"/>
    </xf>
    <xf numFmtId="164" fontId="36" fillId="2" borderId="2" xfId="9" applyFont="1" applyFill="1" applyBorder="1" applyAlignment="1">
      <alignment horizontal="center" vertical="center" wrapText="1"/>
    </xf>
    <xf numFmtId="164" fontId="35" fillId="0" borderId="2" xfId="9" applyFont="1" applyFill="1" applyBorder="1" applyAlignment="1">
      <alignment horizontal="center" vertical="center" wrapText="1"/>
    </xf>
    <xf numFmtId="1" fontId="36" fillId="2" borderId="2" xfId="0" applyNumberFormat="1" applyFont="1" applyFill="1" applyBorder="1" applyAlignment="1">
      <alignment horizontal="center" vertical="center" wrapText="1"/>
    </xf>
    <xf numFmtId="164" fontId="36" fillId="0" borderId="2" xfId="9" quotePrefix="1" applyFont="1" applyBorder="1" applyAlignment="1">
      <alignment horizontal="center" vertical="center" wrapText="1"/>
    </xf>
    <xf numFmtId="166" fontId="31" fillId="0" borderId="2" xfId="1" applyNumberFormat="1" applyFont="1" applyBorder="1" applyAlignment="1">
      <alignment horizontal="center" vertical="center" wrapText="1"/>
    </xf>
    <xf numFmtId="164" fontId="33" fillId="0" borderId="2" xfId="9" applyFont="1" applyFill="1" applyBorder="1" applyAlignment="1">
      <alignment horizontal="center" vertical="center" wrapText="1"/>
    </xf>
    <xf numFmtId="0" fontId="54" fillId="0" borderId="0" xfId="0" applyFont="1" applyAlignment="1">
      <alignment vertical="center"/>
    </xf>
    <xf numFmtId="0" fontId="60" fillId="0" borderId="2" xfId="0" applyFont="1" applyBorder="1" applyAlignment="1">
      <alignment horizontal="center" vertical="center" wrapText="1"/>
    </xf>
    <xf numFmtId="164" fontId="40" fillId="2" borderId="0" xfId="0" applyNumberFormat="1" applyFont="1" applyFill="1" applyAlignment="1">
      <alignment horizontal="center" vertical="center" wrapText="1"/>
    </xf>
    <xf numFmtId="0" fontId="38" fillId="2" borderId="3" xfId="0" applyFont="1" applyFill="1" applyBorder="1" applyAlignment="1">
      <alignment horizontal="center" vertical="center" wrapText="1"/>
    </xf>
    <xf numFmtId="0" fontId="36" fillId="0" borderId="4" xfId="0" applyFont="1" applyBorder="1" applyAlignment="1">
      <alignment horizontal="left" vertical="center" wrapText="1"/>
    </xf>
    <xf numFmtId="0" fontId="38" fillId="2" borderId="6" xfId="0" applyFont="1" applyFill="1" applyBorder="1" applyAlignment="1">
      <alignment horizontal="center" vertical="center" wrapText="1"/>
    </xf>
    <xf numFmtId="0" fontId="36" fillId="0" borderId="4" xfId="0" applyFont="1" applyBorder="1" applyAlignment="1">
      <alignment vertical="center" wrapText="1"/>
    </xf>
    <xf numFmtId="0" fontId="36" fillId="0" borderId="6" xfId="0" applyFont="1" applyBorder="1" applyAlignment="1">
      <alignment vertical="center" wrapText="1"/>
    </xf>
    <xf numFmtId="166" fontId="38" fillId="2" borderId="2" xfId="0" applyNumberFormat="1" applyFont="1" applyFill="1" applyBorder="1" applyAlignment="1">
      <alignment horizontal="center" vertical="center" wrapText="1"/>
    </xf>
    <xf numFmtId="0" fontId="35" fillId="0" borderId="2" xfId="1" applyFont="1" applyBorder="1" applyAlignment="1">
      <alignment horizontal="center" vertical="center" textRotation="90" wrapText="1"/>
    </xf>
    <xf numFmtId="0" fontId="33" fillId="0" borderId="4" xfId="1" applyFont="1" applyBorder="1" applyAlignment="1">
      <alignment horizontal="center" vertical="center" wrapText="1"/>
    </xf>
    <xf numFmtId="0" fontId="38" fillId="2" borderId="2" xfId="0" applyFont="1" applyFill="1" applyBorder="1" applyAlignment="1">
      <alignment horizontal="left" vertical="center"/>
    </xf>
    <xf numFmtId="168" fontId="33" fillId="0" borderId="2" xfId="9" applyNumberFormat="1" applyFont="1" applyFill="1" applyBorder="1" applyAlignment="1">
      <alignment horizontal="center" vertical="center" wrapText="1"/>
    </xf>
    <xf numFmtId="0" fontId="29" fillId="0" borderId="2" xfId="0" quotePrefix="1" applyFont="1" applyBorder="1" applyAlignment="1">
      <alignment horizontal="center" vertical="center" wrapText="1"/>
    </xf>
    <xf numFmtId="0" fontId="40" fillId="2" borderId="6" xfId="0" applyFont="1" applyFill="1" applyBorder="1" applyAlignment="1">
      <alignment horizontal="center" vertical="center" wrapText="1"/>
    </xf>
    <xf numFmtId="0" fontId="20" fillId="0" borderId="0" xfId="0" applyFont="1" applyAlignment="1">
      <alignment horizontal="center" vertical="center"/>
    </xf>
    <xf numFmtId="0" fontId="33" fillId="0" borderId="3" xfId="1" applyFont="1" applyBorder="1" applyAlignment="1">
      <alignment horizontal="center" vertical="center" wrapText="1"/>
    </xf>
    <xf numFmtId="0" fontId="33" fillId="0" borderId="11" xfId="1" applyFont="1" applyBorder="1" applyAlignment="1">
      <alignment horizontal="center" vertical="center" wrapText="1"/>
    </xf>
    <xf numFmtId="0" fontId="33" fillId="0" borderId="5" xfId="1" applyFont="1" applyBorder="1" applyAlignment="1">
      <alignment horizontal="center" vertical="center" wrapText="1"/>
    </xf>
    <xf numFmtId="2" fontId="22" fillId="0" borderId="2" xfId="1" applyNumberFormat="1" applyFont="1" applyBorder="1" applyAlignment="1">
      <alignment horizontal="center" vertical="center" wrapText="1"/>
    </xf>
    <xf numFmtId="168" fontId="40" fillId="2" borderId="2" xfId="9" applyNumberFormat="1" applyFont="1" applyFill="1" applyBorder="1" applyAlignment="1">
      <alignment horizontal="center" vertical="center" wrapText="1"/>
    </xf>
    <xf numFmtId="168" fontId="40" fillId="2" borderId="5" xfId="0" applyNumberFormat="1" applyFont="1" applyFill="1" applyBorder="1" applyAlignment="1">
      <alignment horizontal="center" vertical="center" wrapText="1"/>
    </xf>
    <xf numFmtId="168" fontId="19" fillId="0" borderId="2" xfId="9" applyNumberFormat="1" applyFont="1" applyBorder="1" applyAlignment="1">
      <alignment vertical="center"/>
    </xf>
    <xf numFmtId="170" fontId="40" fillId="2" borderId="2" xfId="0" applyNumberFormat="1" applyFont="1" applyFill="1" applyBorder="1" applyAlignment="1">
      <alignment horizontal="left" vertical="center" wrapText="1"/>
    </xf>
    <xf numFmtId="0" fontId="40" fillId="2" borderId="0" xfId="0" applyFont="1" applyFill="1" applyAlignment="1">
      <alignment horizontal="left" vertical="center"/>
    </xf>
    <xf numFmtId="168" fontId="40" fillId="2" borderId="2" xfId="0" applyNumberFormat="1" applyFont="1" applyFill="1" applyBorder="1" applyAlignment="1">
      <alignment horizontal="center" vertical="center" wrapText="1"/>
    </xf>
    <xf numFmtId="0" fontId="24" fillId="2" borderId="2" xfId="0" applyFont="1" applyFill="1" applyBorder="1" applyAlignment="1">
      <alignment horizontal="center" vertical="center"/>
    </xf>
    <xf numFmtId="0" fontId="20" fillId="0" borderId="0" xfId="0" applyFont="1" applyAlignment="1">
      <alignment horizontal="center"/>
    </xf>
    <xf numFmtId="168" fontId="45" fillId="2" borderId="2" xfId="9" applyNumberFormat="1" applyFont="1" applyFill="1" applyBorder="1" applyAlignment="1">
      <alignment horizontal="center" vertical="center" wrapText="1"/>
    </xf>
    <xf numFmtId="168" fontId="22" fillId="2" borderId="6" xfId="0" applyNumberFormat="1" applyFont="1" applyFill="1" applyBorder="1" applyAlignment="1">
      <alignment horizontal="center" vertical="center" wrapText="1"/>
    </xf>
    <xf numFmtId="168" fontId="24" fillId="2" borderId="2" xfId="0" applyNumberFormat="1" applyFont="1" applyFill="1" applyBorder="1" applyAlignment="1">
      <alignment horizontal="center" vertical="center" wrapText="1"/>
    </xf>
    <xf numFmtId="0" fontId="1" fillId="4" borderId="0" xfId="0" applyFont="1" applyFill="1" applyAlignment="1">
      <alignment vertical="center"/>
    </xf>
    <xf numFmtId="0" fontId="12" fillId="4" borderId="0" xfId="0" applyFont="1" applyFill="1" applyAlignment="1">
      <alignment horizontal="center" vertical="center" wrapText="1"/>
    </xf>
    <xf numFmtId="0" fontId="27" fillId="4" borderId="2" xfId="0" applyFont="1" applyFill="1" applyBorder="1" applyAlignment="1">
      <alignment horizontal="center" vertical="center" wrapText="1"/>
    </xf>
    <xf numFmtId="0" fontId="13" fillId="4" borderId="2" xfId="0" applyFont="1" applyFill="1" applyBorder="1" applyAlignment="1">
      <alignment horizontal="left" vertical="center"/>
    </xf>
    <xf numFmtId="166" fontId="15" fillId="4" borderId="2" xfId="0" applyNumberFormat="1" applyFont="1" applyFill="1" applyBorder="1" applyAlignment="1">
      <alignment vertical="center"/>
    </xf>
    <xf numFmtId="164" fontId="15" fillId="4" borderId="2" xfId="9" applyFont="1" applyFill="1" applyBorder="1" applyAlignment="1">
      <alignment vertical="center"/>
    </xf>
    <xf numFmtId="168" fontId="13" fillId="4" borderId="2" xfId="9" applyNumberFormat="1" applyFont="1" applyFill="1" applyBorder="1" applyAlignment="1">
      <alignment horizontal="center" vertical="center" wrapText="1"/>
    </xf>
    <xf numFmtId="0" fontId="13" fillId="4" borderId="2" xfId="0" applyFont="1" applyFill="1" applyBorder="1" applyAlignment="1">
      <alignment horizontal="center" vertical="center" wrapText="1"/>
    </xf>
    <xf numFmtId="169" fontId="15" fillId="4" borderId="2" xfId="0" applyNumberFormat="1" applyFont="1" applyFill="1" applyBorder="1" applyAlignment="1">
      <alignment vertical="center"/>
    </xf>
    <xf numFmtId="170" fontId="17" fillId="4" borderId="2" xfId="9" applyNumberFormat="1" applyFont="1" applyFill="1" applyBorder="1" applyAlignment="1">
      <alignment horizontal="center" vertical="center" wrapText="1"/>
    </xf>
    <xf numFmtId="0" fontId="53" fillId="4" borderId="0" xfId="1" applyFont="1" applyFill="1" applyAlignment="1">
      <alignment horizontal="center" vertical="center" wrapText="1"/>
    </xf>
    <xf numFmtId="0" fontId="33" fillId="4" borderId="0" xfId="1" applyFont="1" applyFill="1" applyAlignment="1">
      <alignment horizontal="center" vertical="center" wrapText="1"/>
    </xf>
    <xf numFmtId="0" fontId="33" fillId="4" borderId="2" xfId="1" applyFont="1" applyFill="1" applyBorder="1" applyAlignment="1">
      <alignment horizontal="center" vertical="center" wrapText="1"/>
    </xf>
    <xf numFmtId="0" fontId="31" fillId="4" borderId="2" xfId="1" applyFont="1" applyFill="1" applyBorder="1" applyAlignment="1">
      <alignment horizontal="center" vertical="center" wrapText="1"/>
    </xf>
    <xf numFmtId="166" fontId="36" fillId="4" borderId="2" xfId="0" applyNumberFormat="1" applyFont="1" applyFill="1" applyBorder="1" applyAlignment="1">
      <alignment horizontal="center" vertical="center"/>
    </xf>
    <xf numFmtId="166" fontId="61" fillId="4" borderId="2" xfId="1" applyNumberFormat="1" applyFont="1" applyFill="1" applyBorder="1" applyAlignment="1">
      <alignment horizontal="center" vertical="center" wrapText="1"/>
    </xf>
    <xf numFmtId="168" fontId="31" fillId="4" borderId="2" xfId="9" applyNumberFormat="1" applyFont="1" applyFill="1" applyBorder="1" applyAlignment="1">
      <alignment horizontal="center" vertical="center" wrapText="1"/>
    </xf>
    <xf numFmtId="0" fontId="31" fillId="4" borderId="0" xfId="1" applyFont="1" applyFill="1" applyAlignment="1">
      <alignment horizontal="center" vertical="center" wrapText="1"/>
    </xf>
    <xf numFmtId="0" fontId="30" fillId="4" borderId="0" xfId="0" applyFont="1" applyFill="1" applyAlignment="1">
      <alignment horizontal="left" vertical="center"/>
    </xf>
    <xf numFmtId="0" fontId="30" fillId="4" borderId="0" xfId="0" applyFont="1" applyFill="1" applyAlignment="1">
      <alignment horizontal="center" vertical="center"/>
    </xf>
    <xf numFmtId="0" fontId="30" fillId="4" borderId="0" xfId="0" applyFont="1" applyFill="1" applyAlignment="1">
      <alignment horizontal="center"/>
    </xf>
    <xf numFmtId="0" fontId="21" fillId="4" borderId="0" xfId="0" applyFont="1" applyFill="1" applyAlignment="1">
      <alignment horizontal="center" vertical="center" wrapText="1"/>
    </xf>
    <xf numFmtId="0" fontId="40" fillId="4" borderId="2" xfId="0" applyFont="1" applyFill="1" applyBorder="1" applyAlignment="1">
      <alignment horizontal="center" vertical="center" wrapText="1"/>
    </xf>
    <xf numFmtId="0" fontId="24" fillId="4" borderId="2" xfId="0" applyFont="1" applyFill="1" applyBorder="1" applyAlignment="1">
      <alignment horizontal="left" vertical="center"/>
    </xf>
    <xf numFmtId="166" fontId="19" fillId="4" borderId="2" xfId="0" applyNumberFormat="1" applyFont="1" applyFill="1" applyBorder="1" applyAlignment="1">
      <alignment vertical="center"/>
    </xf>
    <xf numFmtId="164" fontId="40" fillId="4" borderId="2" xfId="9" applyFont="1" applyFill="1" applyBorder="1" applyAlignment="1">
      <alignment horizontal="left" vertical="center" wrapText="1"/>
    </xf>
    <xf numFmtId="164" fontId="25" fillId="4" borderId="6" xfId="9" applyFont="1" applyFill="1" applyBorder="1" applyAlignment="1">
      <alignment horizontal="center" vertical="center" wrapText="1"/>
    </xf>
    <xf numFmtId="164" fontId="40" fillId="4" borderId="2" xfId="0" applyNumberFormat="1" applyFont="1" applyFill="1" applyBorder="1" applyAlignment="1">
      <alignment horizontal="center" vertical="center" wrapText="1"/>
    </xf>
    <xf numFmtId="0" fontId="22" fillId="4" borderId="6" xfId="0" applyFont="1" applyFill="1" applyBorder="1" applyAlignment="1">
      <alignment horizontal="center" vertical="center" wrapText="1"/>
    </xf>
    <xf numFmtId="164" fontId="40" fillId="4" borderId="6" xfId="0" applyNumberFormat="1" applyFont="1" applyFill="1" applyBorder="1" applyAlignment="1">
      <alignment horizontal="center" vertical="center" wrapText="1"/>
    </xf>
    <xf numFmtId="164" fontId="24" fillId="4" borderId="2" xfId="0" applyNumberFormat="1" applyFont="1" applyFill="1" applyBorder="1" applyAlignment="1">
      <alignment horizontal="center" vertical="center" wrapText="1"/>
    </xf>
    <xf numFmtId="0" fontId="24" fillId="4" borderId="0" xfId="0" applyFont="1" applyFill="1" applyAlignment="1">
      <alignment horizontal="center" vertical="center" wrapText="1"/>
    </xf>
    <xf numFmtId="0" fontId="42" fillId="4" borderId="0" xfId="0" applyFont="1" applyFill="1"/>
    <xf numFmtId="0" fontId="19" fillId="4" borderId="2" xfId="0" applyFont="1" applyFill="1" applyBorder="1" applyAlignment="1">
      <alignment vertical="center"/>
    </xf>
    <xf numFmtId="166" fontId="38" fillId="4" borderId="2" xfId="0" applyNumberFormat="1" applyFont="1" applyFill="1" applyBorder="1" applyAlignment="1">
      <alignment horizontal="center" vertical="center" wrapText="1"/>
    </xf>
    <xf numFmtId="0" fontId="17" fillId="4" borderId="4" xfId="0" applyFont="1" applyFill="1" applyBorder="1" applyAlignment="1">
      <alignment horizontal="center" vertical="center" wrapText="1"/>
    </xf>
    <xf numFmtId="164" fontId="45" fillId="4" borderId="2" xfId="9" applyFont="1" applyFill="1" applyBorder="1" applyAlignment="1">
      <alignment horizontal="center" vertical="center" wrapText="1"/>
    </xf>
    <xf numFmtId="164" fontId="25" fillId="4" borderId="2" xfId="9" applyFont="1" applyFill="1" applyBorder="1" applyAlignment="1">
      <alignment horizontal="center" vertical="center" wrapText="1"/>
    </xf>
    <xf numFmtId="0" fontId="24" fillId="4" borderId="2" xfId="0" applyFont="1" applyFill="1" applyBorder="1" applyAlignment="1">
      <alignment horizontal="center" vertical="center" wrapText="1"/>
    </xf>
    <xf numFmtId="0" fontId="42" fillId="4" borderId="0" xfId="0" applyFont="1" applyFill="1" applyAlignment="1">
      <alignment vertical="center"/>
    </xf>
    <xf numFmtId="0" fontId="40" fillId="2" borderId="2" xfId="0" applyFont="1" applyFill="1" applyBorder="1" applyAlignment="1">
      <alignment horizontal="left" vertical="center"/>
    </xf>
    <xf numFmtId="0" fontId="40" fillId="2" borderId="11" xfId="0" applyFont="1" applyFill="1" applyBorder="1" applyAlignment="1">
      <alignment horizontal="center" vertical="center" wrapText="1"/>
    </xf>
    <xf numFmtId="0" fontId="40" fillId="2" borderId="0" xfId="0" applyFont="1" applyFill="1" applyAlignment="1">
      <alignment horizontal="center" vertical="center" wrapText="1"/>
    </xf>
    <xf numFmtId="0" fontId="40" fillId="2" borderId="2" xfId="0" quotePrefix="1" applyFont="1" applyFill="1" applyBorder="1" applyAlignment="1">
      <alignment horizontal="center" vertical="center" wrapText="1"/>
    </xf>
    <xf numFmtId="0" fontId="40" fillId="2" borderId="4" xfId="0" applyFont="1" applyFill="1" applyBorder="1" applyAlignment="1">
      <alignment horizontal="center" vertical="center" wrapText="1"/>
    </xf>
    <xf numFmtId="0" fontId="40" fillId="4" borderId="2" xfId="0" applyFont="1" applyFill="1" applyBorder="1" applyAlignment="1">
      <alignment horizontal="left" vertical="center"/>
    </xf>
    <xf numFmtId="0" fontId="40" fillId="2" borderId="2" xfId="0" applyFont="1" applyFill="1" applyBorder="1" applyAlignment="1">
      <alignment horizontal="center" vertical="center"/>
    </xf>
    <xf numFmtId="168" fontId="40" fillId="4" borderId="2" xfId="9" applyNumberFormat="1" applyFont="1" applyFill="1" applyBorder="1" applyAlignment="1">
      <alignment horizontal="center" vertical="center" wrapText="1"/>
    </xf>
    <xf numFmtId="0" fontId="40" fillId="2" borderId="9" xfId="0" applyFont="1" applyFill="1" applyBorder="1" applyAlignment="1">
      <alignment horizontal="center" vertical="center" wrapText="1"/>
    </xf>
    <xf numFmtId="0" fontId="40" fillId="2" borderId="3" xfId="0" applyFont="1" applyFill="1" applyBorder="1" applyAlignment="1">
      <alignment horizontal="center" vertical="center" wrapText="1"/>
    </xf>
    <xf numFmtId="0" fontId="40" fillId="2" borderId="5" xfId="0" applyFont="1" applyFill="1" applyBorder="1" applyAlignment="1">
      <alignment horizontal="center" vertical="center" wrapText="1"/>
    </xf>
    <xf numFmtId="0" fontId="40" fillId="2" borderId="10" xfId="0" applyFont="1" applyFill="1" applyBorder="1" applyAlignment="1">
      <alignment horizontal="center" vertical="center" wrapText="1"/>
    </xf>
    <xf numFmtId="164" fontId="40" fillId="4" borderId="0" xfId="0" applyNumberFormat="1" applyFont="1" applyFill="1" applyAlignment="1">
      <alignment horizontal="center" vertical="center" wrapText="1"/>
    </xf>
    <xf numFmtId="0" fontId="40" fillId="4" borderId="0" xfId="0" applyFont="1" applyFill="1" applyAlignment="1">
      <alignment horizontal="center" vertical="center" wrapText="1"/>
    </xf>
    <xf numFmtId="0" fontId="40" fillId="4" borderId="2" xfId="0" applyFont="1" applyFill="1" applyBorder="1" applyAlignment="1">
      <alignment horizontal="left" vertical="center" wrapText="1"/>
    </xf>
    <xf numFmtId="0" fontId="40" fillId="2" borderId="2" xfId="0" quotePrefix="1" applyFont="1" applyFill="1" applyBorder="1" applyAlignment="1">
      <alignment horizontal="left" vertical="center" wrapText="1"/>
    </xf>
    <xf numFmtId="0" fontId="40" fillId="2" borderId="6" xfId="0" applyFont="1" applyFill="1" applyBorder="1" applyAlignment="1">
      <alignment horizontal="left" vertical="center" wrapText="1"/>
    </xf>
    <xf numFmtId="0" fontId="40" fillId="2" borderId="11" xfId="0" applyFont="1" applyFill="1" applyBorder="1" applyAlignment="1">
      <alignment horizontal="left" vertical="center" wrapText="1"/>
    </xf>
    <xf numFmtId="0" fontId="22" fillId="2" borderId="0" xfId="0" applyFont="1" applyFill="1" applyAlignment="1">
      <alignment horizontal="center" vertical="center" wrapText="1"/>
    </xf>
    <xf numFmtId="0" fontId="22" fillId="2" borderId="1" xfId="0" applyFont="1" applyFill="1" applyBorder="1" applyAlignment="1">
      <alignment horizontal="center" vertical="center" wrapText="1"/>
    </xf>
    <xf numFmtId="0" fontId="22" fillId="4" borderId="0" xfId="0" applyFont="1" applyFill="1" applyAlignment="1">
      <alignment horizontal="center" vertical="center" wrapText="1"/>
    </xf>
    <xf numFmtId="0" fontId="63" fillId="0" borderId="0" xfId="0" applyFont="1" applyAlignment="1">
      <alignment vertical="center"/>
    </xf>
    <xf numFmtId="0" fontId="64" fillId="0" borderId="0" xfId="0" applyFont="1" applyAlignment="1">
      <alignment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40" fillId="0" borderId="0" xfId="0" applyFont="1" applyAlignment="1">
      <alignment vertical="center"/>
    </xf>
    <xf numFmtId="0" fontId="40" fillId="0" borderId="0" xfId="0" applyFont="1" applyAlignment="1">
      <alignment vertical="top"/>
    </xf>
    <xf numFmtId="0" fontId="22" fillId="0" borderId="2" xfId="0" applyFont="1" applyBorder="1" applyAlignment="1">
      <alignment horizontal="left" vertical="center" wrapText="1"/>
    </xf>
    <xf numFmtId="164" fontId="22" fillId="0" borderId="2" xfId="9" quotePrefix="1" applyFont="1" applyBorder="1" applyAlignment="1">
      <alignment horizontal="left" vertical="center" wrapText="1"/>
    </xf>
    <xf numFmtId="2" fontId="22" fillId="2" borderId="2" xfId="0" applyNumberFormat="1" applyFont="1" applyFill="1" applyBorder="1" applyAlignment="1">
      <alignment horizontal="right" vertical="center" wrapText="1"/>
    </xf>
    <xf numFmtId="2" fontId="22" fillId="0" borderId="2" xfId="0" applyNumberFormat="1" applyFont="1" applyBorder="1" applyAlignment="1">
      <alignment horizontal="center" vertical="center" wrapText="1"/>
    </xf>
    <xf numFmtId="17" fontId="22" fillId="0" borderId="2" xfId="0" applyNumberFormat="1" applyFont="1" applyBorder="1" applyAlignment="1">
      <alignment horizontal="center" vertical="center" wrapText="1"/>
    </xf>
    <xf numFmtId="17" fontId="22" fillId="3" borderId="2" xfId="0" applyNumberFormat="1" applyFont="1" applyFill="1" applyBorder="1" applyAlignment="1">
      <alignment horizontal="center" vertical="center" wrapText="1"/>
    </xf>
    <xf numFmtId="166" fontId="22" fillId="0" borderId="2" xfId="0" applyNumberFormat="1" applyFont="1" applyBorder="1" applyAlignment="1">
      <alignment vertical="center"/>
    </xf>
    <xf numFmtId="164" fontId="22" fillId="0" borderId="2" xfId="9" applyFont="1" applyBorder="1" applyAlignment="1">
      <alignment vertical="center"/>
    </xf>
    <xf numFmtId="164" fontId="22" fillId="4" borderId="2" xfId="9" applyFont="1" applyFill="1" applyBorder="1" applyAlignment="1">
      <alignment vertical="center"/>
    </xf>
    <xf numFmtId="2" fontId="22" fillId="2" borderId="2" xfId="0" applyNumberFormat="1" applyFont="1" applyFill="1" applyBorder="1" applyAlignment="1">
      <alignment horizontal="center" vertical="center" wrapText="1"/>
    </xf>
    <xf numFmtId="17" fontId="22" fillId="2" borderId="2" xfId="0" applyNumberFormat="1" applyFont="1" applyFill="1" applyBorder="1" applyAlignment="1">
      <alignment horizontal="center" vertical="center" wrapText="1"/>
    </xf>
    <xf numFmtId="0" fontId="22" fillId="0" borderId="2" xfId="0" applyFont="1" applyBorder="1" applyAlignment="1">
      <alignment vertical="center" wrapText="1"/>
    </xf>
    <xf numFmtId="2" fontId="22" fillId="0" borderId="2" xfId="0" applyNumberFormat="1" applyFont="1" applyBorder="1" applyAlignment="1">
      <alignment horizontal="right" vertical="center" wrapText="1"/>
    </xf>
    <xf numFmtId="168" fontId="22" fillId="0" borderId="2" xfId="9" applyNumberFormat="1" applyFont="1" applyBorder="1" applyAlignment="1">
      <alignment vertical="center"/>
    </xf>
    <xf numFmtId="164" fontId="22" fillId="0" borderId="2" xfId="9" applyFont="1" applyBorder="1" applyAlignment="1">
      <alignment horizontal="center" vertical="center"/>
    </xf>
    <xf numFmtId="167" fontId="22" fillId="0" borderId="2" xfId="0" applyNumberFormat="1" applyFont="1" applyBorder="1" applyAlignment="1">
      <alignment horizontal="center" vertical="center" wrapText="1"/>
    </xf>
    <xf numFmtId="167" fontId="22" fillId="0" borderId="2" xfId="0" quotePrefix="1" applyNumberFormat="1" applyFont="1" applyBorder="1" applyAlignment="1">
      <alignment horizontal="center" vertical="center" wrapText="1"/>
    </xf>
    <xf numFmtId="166" fontId="22" fillId="4" borderId="2" xfId="0" applyNumberFormat="1" applyFont="1" applyFill="1" applyBorder="1" applyAlignment="1">
      <alignment vertical="center"/>
    </xf>
    <xf numFmtId="164" fontId="22" fillId="0" borderId="2" xfId="9" applyFont="1" applyBorder="1" applyAlignment="1">
      <alignment horizontal="right" vertical="center" wrapText="1"/>
    </xf>
    <xf numFmtId="164" fontId="22" fillId="0" borderId="2" xfId="9" quotePrefix="1" applyFont="1" applyBorder="1" applyAlignment="1">
      <alignment horizontal="center" vertical="center" wrapText="1"/>
    </xf>
    <xf numFmtId="0" fontId="22" fillId="3" borderId="2" xfId="0" applyFont="1" applyFill="1" applyBorder="1" applyAlignment="1">
      <alignment horizontal="center" vertical="center" wrapText="1"/>
    </xf>
    <xf numFmtId="169" fontId="22" fillId="0" borderId="2" xfId="0" applyNumberFormat="1" applyFont="1" applyBorder="1" applyAlignment="1">
      <alignment vertical="center"/>
    </xf>
    <xf numFmtId="170" fontId="22" fillId="0" borderId="2" xfId="9" applyNumberFormat="1" applyFont="1" applyBorder="1" applyAlignment="1">
      <alignment vertical="center"/>
    </xf>
    <xf numFmtId="0" fontId="40" fillId="0" borderId="2" xfId="0" applyFont="1" applyBorder="1" applyAlignment="1">
      <alignment horizontal="center" vertical="center"/>
    </xf>
    <xf numFmtId="0" fontId="22" fillId="2" borderId="6" xfId="0" quotePrefix="1" applyFont="1" applyFill="1" applyBorder="1" applyAlignment="1">
      <alignment horizontal="center" vertical="center" wrapText="1"/>
    </xf>
    <xf numFmtId="0" fontId="22" fillId="2" borderId="6" xfId="0" applyFont="1" applyFill="1" applyBorder="1" applyAlignment="1">
      <alignment horizontal="left" vertical="center" wrapText="1"/>
    </xf>
    <xf numFmtId="167" fontId="22" fillId="2" borderId="6" xfId="0" applyNumberFormat="1" applyFont="1" applyFill="1" applyBorder="1" applyAlignment="1">
      <alignment horizontal="center" vertical="center" wrapText="1"/>
    </xf>
    <xf numFmtId="164" fontId="22" fillId="0" borderId="6" xfId="9" applyFont="1" applyFill="1" applyBorder="1" applyAlignment="1">
      <alignment horizontal="center" vertical="center" wrapText="1"/>
    </xf>
    <xf numFmtId="164" fontId="22" fillId="4" borderId="6" xfId="9" applyFont="1" applyFill="1" applyBorder="1" applyAlignment="1">
      <alignment horizontal="center" vertical="center" wrapText="1"/>
    </xf>
    <xf numFmtId="0" fontId="22" fillId="0" borderId="0" xfId="0" applyFont="1"/>
    <xf numFmtId="0" fontId="63" fillId="0" borderId="2" xfId="0" applyFont="1" applyBorder="1"/>
    <xf numFmtId="0" fontId="63" fillId="0" borderId="0" xfId="0" applyFont="1"/>
    <xf numFmtId="2" fontId="22" fillId="0" borderId="6" xfId="0" applyNumberFormat="1" applyFont="1" applyBorder="1" applyAlignment="1">
      <alignment horizontal="center" vertical="center" wrapText="1"/>
    </xf>
    <xf numFmtId="0" fontId="8" fillId="2" borderId="6" xfId="0" applyFont="1" applyFill="1" applyBorder="1" applyAlignment="1">
      <alignment horizontal="center" vertical="center" wrapText="1"/>
    </xf>
    <xf numFmtId="0" fontId="22" fillId="2" borderId="6" xfId="0" quotePrefix="1" applyFont="1" applyFill="1" applyBorder="1" applyAlignment="1">
      <alignment horizontal="left" vertical="center" wrapText="1"/>
    </xf>
    <xf numFmtId="0" fontId="63" fillId="0" borderId="6" xfId="0" applyFont="1" applyBorder="1" applyAlignment="1">
      <alignment horizontal="center" vertical="center"/>
    </xf>
    <xf numFmtId="0" fontId="63" fillId="0" borderId="2" xfId="0" applyFont="1" applyBorder="1" applyAlignment="1">
      <alignment horizontal="center" vertical="center"/>
    </xf>
    <xf numFmtId="0" fontId="63" fillId="0" borderId="0" xfId="0" applyFont="1" applyAlignment="1">
      <alignment horizontal="center" vertical="center"/>
    </xf>
    <xf numFmtId="0" fontId="22" fillId="4" borderId="0" xfId="0" applyFont="1" applyFill="1" applyAlignment="1">
      <alignment vertical="center"/>
    </xf>
    <xf numFmtId="0" fontId="63" fillId="0" borderId="0" xfId="0" applyFont="1" applyAlignment="1">
      <alignment horizontal="center"/>
    </xf>
    <xf numFmtId="0" fontId="22" fillId="4" borderId="0" xfId="0" applyFont="1" applyFill="1"/>
    <xf numFmtId="164" fontId="22" fillId="0" borderId="2" xfId="9" applyFont="1" applyBorder="1" applyAlignment="1">
      <alignment horizontal="center" vertical="center" wrapText="1"/>
    </xf>
    <xf numFmtId="167" fontId="22" fillId="0" borderId="2" xfId="0" applyNumberFormat="1" applyFont="1" applyBorder="1" applyAlignment="1">
      <alignment horizontal="right" vertical="center" wrapText="1"/>
    </xf>
    <xf numFmtId="0" fontId="22" fillId="0" borderId="2" xfId="0" applyFont="1" applyBorder="1" applyAlignment="1">
      <alignment vertical="center"/>
    </xf>
    <xf numFmtId="0" fontId="22" fillId="4" borderId="2" xfId="0" applyFont="1" applyFill="1" applyBorder="1" applyAlignment="1">
      <alignment vertical="center"/>
    </xf>
    <xf numFmtId="0" fontId="40" fillId="0" borderId="2" xfId="0" applyFont="1" applyBorder="1" applyAlignment="1">
      <alignment vertical="center"/>
    </xf>
    <xf numFmtId="0" fontId="22" fillId="2" borderId="4" xfId="0" applyFont="1" applyFill="1" applyBorder="1" applyAlignment="1">
      <alignment horizontal="center" vertical="center" wrapText="1"/>
    </xf>
    <xf numFmtId="0" fontId="22" fillId="2" borderId="7" xfId="0" applyFont="1" applyFill="1" applyBorder="1" applyAlignment="1">
      <alignment horizontal="center" vertical="center" wrapText="1"/>
    </xf>
    <xf numFmtId="170" fontId="22" fillId="2" borderId="4" xfId="9" applyNumberFormat="1" applyFont="1" applyFill="1" applyBorder="1" applyAlignment="1">
      <alignment horizontal="center" vertical="center" wrapText="1"/>
    </xf>
    <xf numFmtId="170" fontId="22" fillId="2" borderId="7" xfId="9" applyNumberFormat="1" applyFont="1" applyFill="1" applyBorder="1" applyAlignment="1">
      <alignment horizontal="center" vertical="center" wrapText="1"/>
    </xf>
    <xf numFmtId="0" fontId="30" fillId="0" borderId="0" xfId="0" applyFont="1" applyAlignment="1">
      <alignment horizontal="center" vertical="center"/>
    </xf>
    <xf numFmtId="0" fontId="21" fillId="2" borderId="0" xfId="0" applyFont="1" applyFill="1" applyAlignment="1">
      <alignment horizontal="center" vertical="center" wrapText="1"/>
    </xf>
    <xf numFmtId="0" fontId="22" fillId="2" borderId="6"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22" fillId="4" borderId="6"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5" xfId="0" applyFont="1" applyFill="1" applyBorder="1" applyAlignment="1">
      <alignment horizontal="center" vertical="center" wrapText="1"/>
    </xf>
    <xf numFmtId="164" fontId="15" fillId="0" borderId="3" xfId="9" applyFont="1" applyBorder="1" applyAlignment="1">
      <alignment horizontal="center" vertical="center" wrapText="1"/>
    </xf>
    <xf numFmtId="0" fontId="0" fillId="0" borderId="11" xfId="0" applyBorder="1"/>
    <xf numFmtId="0" fontId="0" fillId="0" borderId="5" xfId="0" applyBorder="1"/>
    <xf numFmtId="0" fontId="33" fillId="0" borderId="2" xfId="1" applyFont="1" applyBorder="1" applyAlignment="1">
      <alignment horizontal="center" vertical="center" wrapText="1"/>
    </xf>
    <xf numFmtId="0" fontId="33" fillId="0" borderId="2" xfId="1" applyFont="1" applyBorder="1" applyAlignment="1">
      <alignment horizontal="center" vertical="center" textRotation="90" wrapText="1"/>
    </xf>
    <xf numFmtId="0" fontId="33" fillId="0" borderId="4" xfId="1" applyFont="1" applyBorder="1" applyAlignment="1">
      <alignment horizontal="center" vertical="center" textRotation="90" wrapText="1"/>
    </xf>
    <xf numFmtId="0" fontId="33" fillId="0" borderId="7" xfId="1" applyFont="1" applyBorder="1" applyAlignment="1">
      <alignment horizontal="center" vertical="center" textRotation="90" wrapText="1"/>
    </xf>
    <xf numFmtId="0" fontId="33" fillId="0" borderId="6" xfId="1" applyFont="1" applyBorder="1" applyAlignment="1">
      <alignment horizontal="center" vertical="center" textRotation="90" wrapText="1"/>
    </xf>
    <xf numFmtId="0" fontId="54" fillId="0" borderId="0" xfId="0" applyFont="1" applyAlignment="1">
      <alignment horizontal="center" vertical="center"/>
    </xf>
    <xf numFmtId="0" fontId="55" fillId="0" borderId="0" xfId="1" applyFont="1" applyAlignment="1">
      <alignment horizontal="center" vertical="center" wrapText="1"/>
    </xf>
    <xf numFmtId="0" fontId="33" fillId="2" borderId="2" xfId="0" applyFont="1" applyFill="1" applyBorder="1" applyAlignment="1">
      <alignment horizontal="center" vertical="center" wrapText="1"/>
    </xf>
    <xf numFmtId="0" fontId="36" fillId="0" borderId="2" xfId="0" applyFont="1" applyBorder="1" applyAlignment="1">
      <alignment horizontal="center" vertical="center" wrapText="1"/>
    </xf>
    <xf numFmtId="0" fontId="33" fillId="0" borderId="4"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6" xfId="1" applyFont="1" applyBorder="1" applyAlignment="1">
      <alignment horizontal="center" vertical="center" wrapText="1"/>
    </xf>
    <xf numFmtId="0" fontId="38" fillId="2" borderId="3" xfId="0" applyFont="1" applyFill="1" applyBorder="1" applyAlignment="1">
      <alignment horizontal="left" vertical="center"/>
    </xf>
    <xf numFmtId="0" fontId="38" fillId="2" borderId="11" xfId="0" applyFont="1" applyFill="1" applyBorder="1" applyAlignment="1">
      <alignment horizontal="left" vertical="center"/>
    </xf>
    <xf numFmtId="0" fontId="38" fillId="2" borderId="5" xfId="0" applyFont="1" applyFill="1" applyBorder="1" applyAlignment="1">
      <alignment horizontal="left" vertical="center"/>
    </xf>
    <xf numFmtId="0" fontId="45" fillId="2" borderId="3" xfId="0" applyFont="1" applyFill="1" applyBorder="1" applyAlignment="1">
      <alignment horizontal="left" vertical="center"/>
    </xf>
    <xf numFmtId="0" fontId="45" fillId="2" borderId="11" xfId="0" applyFont="1" applyFill="1" applyBorder="1" applyAlignment="1">
      <alignment horizontal="left" vertical="center"/>
    </xf>
    <xf numFmtId="0" fontId="45" fillId="2" borderId="5" xfId="0" applyFont="1" applyFill="1" applyBorder="1" applyAlignment="1">
      <alignment horizontal="left" vertical="center"/>
    </xf>
    <xf numFmtId="164" fontId="36" fillId="0" borderId="3" xfId="9" applyFont="1" applyBorder="1" applyAlignment="1">
      <alignment horizontal="center" vertical="center" wrapText="1"/>
    </xf>
    <xf numFmtId="164" fontId="36" fillId="0" borderId="11" xfId="9" applyFont="1" applyBorder="1" applyAlignment="1">
      <alignment horizontal="center" vertical="center" wrapText="1"/>
    </xf>
    <xf numFmtId="164" fontId="36" fillId="0" borderId="5" xfId="9" applyFont="1" applyBorder="1" applyAlignment="1">
      <alignment horizontal="center" vertical="center" wrapText="1"/>
    </xf>
    <xf numFmtId="0" fontId="33" fillId="4" borderId="2" xfId="1" applyFont="1" applyFill="1" applyBorder="1" applyAlignment="1">
      <alignment horizontal="center" vertical="center" wrapText="1"/>
    </xf>
    <xf numFmtId="0" fontId="57" fillId="2" borderId="0" xfId="0" applyFont="1" applyFill="1" applyAlignment="1">
      <alignment horizontal="center" vertical="center"/>
    </xf>
    <xf numFmtId="0" fontId="35" fillId="0" borderId="2" xfId="1" applyFont="1" applyBorder="1" applyAlignment="1">
      <alignment horizontal="center" vertical="center" wrapText="1"/>
    </xf>
    <xf numFmtId="0" fontId="33" fillId="2" borderId="4" xfId="0" applyFont="1" applyFill="1" applyBorder="1" applyAlignment="1">
      <alignment horizontal="center" vertical="center" wrapText="1"/>
    </xf>
    <xf numFmtId="0" fontId="33" fillId="2" borderId="7"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24" fillId="2" borderId="0" xfId="0" applyFont="1" applyFill="1" applyAlignment="1">
      <alignment horizontal="center" vertical="center" wrapText="1"/>
    </xf>
    <xf numFmtId="0" fontId="62" fillId="0" borderId="0" xfId="0" applyFont="1" applyAlignment="1">
      <alignment horizontal="center" vertical="center"/>
    </xf>
    <xf numFmtId="0" fontId="22" fillId="2" borderId="2" xfId="0" applyFont="1" applyFill="1" applyBorder="1" applyAlignment="1">
      <alignment horizontal="center" vertical="center" wrapText="1"/>
    </xf>
    <xf numFmtId="0" fontId="22" fillId="0" borderId="3"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2" xfId="0" applyFont="1" applyBorder="1" applyAlignment="1">
      <alignment horizontal="center" vertical="center"/>
    </xf>
    <xf numFmtId="0" fontId="22" fillId="2" borderId="4" xfId="0" applyFont="1" applyFill="1" applyBorder="1" applyAlignment="1">
      <alignment horizontal="left" vertical="center" wrapText="1"/>
    </xf>
    <xf numFmtId="0" fontId="22" fillId="2" borderId="6" xfId="0" applyFont="1" applyFill="1" applyBorder="1" applyAlignment="1">
      <alignment horizontal="left" vertical="center" wrapText="1"/>
    </xf>
    <xf numFmtId="0" fontId="22" fillId="4" borderId="2" xfId="0" applyFont="1" applyFill="1" applyBorder="1" applyAlignment="1">
      <alignment horizontal="center" vertical="center" wrapText="1"/>
    </xf>
    <xf numFmtId="0" fontId="40" fillId="2" borderId="0" xfId="0" applyFont="1" applyFill="1" applyAlignment="1">
      <alignment horizontal="left" vertical="top" wrapText="1"/>
    </xf>
    <xf numFmtId="0" fontId="22" fillId="2" borderId="8" xfId="0" applyFont="1" applyFill="1" applyBorder="1" applyAlignment="1">
      <alignment horizontal="center" vertical="center" wrapText="1"/>
    </xf>
    <xf numFmtId="0" fontId="22" fillId="2" borderId="12" xfId="0" quotePrefix="1" applyFont="1" applyFill="1" applyBorder="1" applyAlignment="1">
      <alignment horizontal="center" vertical="center" wrapText="1"/>
    </xf>
    <xf numFmtId="0" fontId="22" fillId="2" borderId="13" xfId="0" quotePrefix="1" applyFont="1" applyFill="1" applyBorder="1" applyAlignment="1">
      <alignment horizontal="center" vertical="center" wrapText="1"/>
    </xf>
    <xf numFmtId="0" fontId="40" fillId="2" borderId="9" xfId="0" applyFont="1" applyFill="1" applyBorder="1" applyAlignment="1">
      <alignment horizontal="left" vertical="center"/>
    </xf>
    <xf numFmtId="0" fontId="40" fillId="2" borderId="1" xfId="0" applyFont="1" applyFill="1" applyBorder="1" applyAlignment="1">
      <alignment horizontal="left" vertical="center"/>
    </xf>
    <xf numFmtId="0" fontId="40" fillId="2" borderId="10" xfId="0" applyFont="1" applyFill="1" applyBorder="1" applyAlignment="1">
      <alignment horizontal="left" vertical="center"/>
    </xf>
    <xf numFmtId="0" fontId="40" fillId="2" borderId="3" xfId="0" applyFont="1" applyFill="1" applyBorder="1" applyAlignment="1">
      <alignment horizontal="left" vertical="center"/>
    </xf>
    <xf numFmtId="0" fontId="40" fillId="2" borderId="11" xfId="0" applyFont="1" applyFill="1" applyBorder="1" applyAlignment="1">
      <alignment horizontal="left" vertical="center"/>
    </xf>
    <xf numFmtId="0" fontId="40" fillId="2" borderId="5" xfId="0" applyFont="1" applyFill="1" applyBorder="1" applyAlignment="1">
      <alignment horizontal="left" vertical="center"/>
    </xf>
    <xf numFmtId="0" fontId="22" fillId="2" borderId="8" xfId="0" quotePrefix="1"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3" xfId="0" applyFont="1" applyFill="1" applyBorder="1" applyAlignment="1">
      <alignment horizontal="left" vertical="center"/>
    </xf>
    <xf numFmtId="0" fontId="13" fillId="2" borderId="11" xfId="0" applyFont="1" applyFill="1" applyBorder="1" applyAlignment="1">
      <alignment horizontal="left" vertical="center"/>
    </xf>
    <xf numFmtId="0" fontId="13" fillId="2" borderId="5" xfId="0" applyFont="1" applyFill="1" applyBorder="1" applyAlignment="1">
      <alignment horizontal="left" vertical="center"/>
    </xf>
    <xf numFmtId="0" fontId="1" fillId="0" borderId="0" xfId="0" applyFont="1" applyAlignment="1">
      <alignment horizontal="center" vertical="center"/>
    </xf>
    <xf numFmtId="0" fontId="4" fillId="2" borderId="0" xfId="0" applyFont="1" applyFill="1" applyAlignment="1">
      <alignment horizontal="center" vertical="center" wrapText="1"/>
    </xf>
    <xf numFmtId="0" fontId="8" fillId="4" borderId="4"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36" fillId="0" borderId="4" xfId="0" applyFont="1" applyBorder="1" applyAlignment="1">
      <alignment horizontal="center" vertical="center"/>
    </xf>
    <xf numFmtId="0" fontId="36" fillId="0" borderId="6" xfId="0" applyFont="1" applyBorder="1" applyAlignment="1">
      <alignment horizontal="center" vertical="center"/>
    </xf>
    <xf numFmtId="164" fontId="36" fillId="0" borderId="8" xfId="9" applyFont="1" applyBorder="1" applyAlignment="1">
      <alignment horizontal="center" vertical="center" wrapText="1"/>
    </xf>
    <xf numFmtId="164" fontId="36" fillId="0" borderId="12" xfId="9" applyFont="1" applyBorder="1" applyAlignment="1">
      <alignment horizontal="center" vertical="center" wrapText="1"/>
    </xf>
    <xf numFmtId="164" fontId="36" fillId="0" borderId="13" xfId="9" applyFont="1" applyBorder="1" applyAlignment="1">
      <alignment horizontal="center" vertical="center" wrapText="1"/>
    </xf>
    <xf numFmtId="164" fontId="36" fillId="0" borderId="15" xfId="9" applyFont="1" applyBorder="1" applyAlignment="1">
      <alignment horizontal="center" vertical="center" wrapText="1"/>
    </xf>
    <xf numFmtId="164" fontId="36" fillId="0" borderId="0" xfId="9" applyFont="1" applyBorder="1" applyAlignment="1">
      <alignment horizontal="center" vertical="center" wrapText="1"/>
    </xf>
    <xf numFmtId="164" fontId="36" fillId="0" borderId="14" xfId="9" applyFont="1" applyBorder="1" applyAlignment="1">
      <alignment horizontal="center" vertical="center" wrapText="1"/>
    </xf>
    <xf numFmtId="0" fontId="35" fillId="0" borderId="4" xfId="1" quotePrefix="1" applyFont="1" applyBorder="1" applyAlignment="1">
      <alignment horizontal="center" vertical="center" wrapText="1"/>
    </xf>
    <xf numFmtId="0" fontId="35" fillId="0" borderId="6" xfId="1" quotePrefix="1" applyFont="1" applyBorder="1" applyAlignment="1">
      <alignment horizontal="center" vertical="center" wrapText="1"/>
    </xf>
    <xf numFmtId="166" fontId="35" fillId="0" borderId="4" xfId="1" applyNumberFormat="1" applyFont="1" applyBorder="1" applyAlignment="1">
      <alignment horizontal="center" vertical="center" wrapText="1"/>
    </xf>
    <xf numFmtId="166" fontId="35" fillId="0" borderId="6" xfId="1" applyNumberFormat="1" applyFont="1" applyBorder="1" applyAlignment="1">
      <alignment horizontal="center" vertical="center" wrapText="1"/>
    </xf>
    <xf numFmtId="166" fontId="36" fillId="0" borderId="4" xfId="0" applyNumberFormat="1" applyFont="1" applyBorder="1" applyAlignment="1">
      <alignment horizontal="center" vertical="center"/>
    </xf>
    <xf numFmtId="166" fontId="36" fillId="0" borderId="6" xfId="0" applyNumberFormat="1" applyFont="1" applyBorder="1" applyAlignment="1">
      <alignment horizontal="center" vertical="center"/>
    </xf>
    <xf numFmtId="166" fontId="36" fillId="4" borderId="4" xfId="0" applyNumberFormat="1" applyFont="1" applyFill="1" applyBorder="1" applyAlignment="1">
      <alignment horizontal="center" vertical="center"/>
    </xf>
    <xf numFmtId="166" fontId="36" fillId="4" borderId="6" xfId="0" applyNumberFormat="1" applyFont="1" applyFill="1" applyBorder="1" applyAlignment="1">
      <alignment horizontal="center" vertical="center"/>
    </xf>
    <xf numFmtId="0" fontId="35" fillId="0" borderId="4" xfId="1" applyFont="1" applyBorder="1" applyAlignment="1">
      <alignment horizontal="center" vertical="center" wrapText="1"/>
    </xf>
    <xf numFmtId="0" fontId="35" fillId="0" borderId="6" xfId="1" applyFont="1" applyBorder="1" applyAlignment="1">
      <alignment horizontal="center" vertical="center" wrapText="1"/>
    </xf>
    <xf numFmtId="17" fontId="36" fillId="0" borderId="4" xfId="0" quotePrefix="1" applyNumberFormat="1" applyFont="1" applyBorder="1" applyAlignment="1">
      <alignment horizontal="center" vertical="center" wrapText="1"/>
    </xf>
    <xf numFmtId="17" fontId="36" fillId="0" borderId="6" xfId="0" quotePrefix="1" applyNumberFormat="1" applyFont="1" applyBorder="1" applyAlignment="1">
      <alignment horizontal="center" vertical="center" wrapText="1"/>
    </xf>
    <xf numFmtId="0" fontId="19" fillId="0" borderId="4" xfId="0" applyFont="1" applyBorder="1" applyAlignment="1">
      <alignment horizontal="center" vertical="center" wrapText="1"/>
    </xf>
    <xf numFmtId="0" fontId="19" fillId="0" borderId="6" xfId="0" applyFont="1" applyBorder="1" applyAlignment="1">
      <alignment horizontal="center" vertical="center" wrapText="1"/>
    </xf>
    <xf numFmtId="0" fontId="35" fillId="0" borderId="4" xfId="1" applyFont="1" applyBorder="1" applyAlignment="1">
      <alignment horizontal="center" vertical="center" textRotation="90" wrapText="1"/>
    </xf>
    <xf numFmtId="0" fontId="35" fillId="0" borderId="6" xfId="1" quotePrefix="1" applyFont="1" applyBorder="1" applyAlignment="1">
      <alignment horizontal="center" vertical="center" textRotation="90" wrapText="1"/>
    </xf>
    <xf numFmtId="0" fontId="36" fillId="0" borderId="4" xfId="0" applyFont="1" applyBorder="1" applyAlignment="1">
      <alignment horizontal="center" vertical="center" wrapText="1"/>
    </xf>
    <xf numFmtId="0" fontId="36" fillId="0" borderId="6"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6" xfId="0" applyFont="1" applyBorder="1" applyAlignment="1">
      <alignment horizontal="center" vertical="center" wrapText="1"/>
    </xf>
    <xf numFmtId="17" fontId="25" fillId="0" borderId="4" xfId="0" applyNumberFormat="1" applyFont="1" applyBorder="1" applyAlignment="1">
      <alignment horizontal="center" vertical="center" wrapText="1"/>
    </xf>
    <xf numFmtId="17" fontId="25" fillId="0" borderId="6" xfId="0" applyNumberFormat="1"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0" xfId="0" applyFont="1" applyBorder="1" applyAlignment="1">
      <alignment horizontal="center" vertical="center" wrapText="1"/>
    </xf>
    <xf numFmtId="0" fontId="33" fillId="2" borderId="4" xfId="0" applyFont="1" applyFill="1" applyBorder="1" applyAlignment="1">
      <alignment horizontal="center" vertical="center" textRotation="90" wrapText="1"/>
    </xf>
    <xf numFmtId="0" fontId="33" fillId="2" borderId="7" xfId="0" applyFont="1" applyFill="1" applyBorder="1" applyAlignment="1">
      <alignment horizontal="center" vertical="center" textRotation="90" wrapText="1"/>
    </xf>
    <xf numFmtId="0" fontId="33" fillId="2" borderId="6" xfId="0" applyFont="1" applyFill="1" applyBorder="1" applyAlignment="1">
      <alignment horizontal="center" vertical="center" textRotation="90" wrapText="1"/>
    </xf>
    <xf numFmtId="0" fontId="34" fillId="2" borderId="0" xfId="0" applyFont="1" applyFill="1" applyAlignment="1">
      <alignment horizontal="center" vertical="center"/>
    </xf>
    <xf numFmtId="0" fontId="31" fillId="0" borderId="0" xfId="1" applyFont="1" applyAlignment="1">
      <alignment horizontal="center" vertical="center" wrapText="1"/>
    </xf>
    <xf numFmtId="0" fontId="40" fillId="2" borderId="4" xfId="0" applyFont="1" applyFill="1" applyBorder="1" applyAlignment="1">
      <alignment horizontal="center" vertical="center" wrapText="1"/>
    </xf>
    <xf numFmtId="0" fontId="40" fillId="2" borderId="6" xfId="0" applyFont="1" applyFill="1" applyBorder="1" applyAlignment="1">
      <alignment horizontal="center" vertical="center" wrapText="1"/>
    </xf>
    <xf numFmtId="0" fontId="24" fillId="2" borderId="3"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5" xfId="0" applyFont="1" applyFill="1" applyBorder="1" applyAlignment="1">
      <alignment horizontal="left" vertical="center"/>
    </xf>
    <xf numFmtId="167" fontId="25" fillId="2" borderId="9" xfId="0" applyNumberFormat="1" applyFont="1" applyFill="1" applyBorder="1" applyAlignment="1">
      <alignment horizontal="center" vertical="center" wrapText="1"/>
    </xf>
    <xf numFmtId="167" fontId="25" fillId="2" borderId="1" xfId="0" applyNumberFormat="1" applyFont="1" applyFill="1" applyBorder="1" applyAlignment="1">
      <alignment horizontal="center" vertical="center" wrapText="1"/>
    </xf>
    <xf numFmtId="167" fontId="25" fillId="2" borderId="10" xfId="0" applyNumberFormat="1" applyFont="1" applyFill="1" applyBorder="1" applyAlignment="1">
      <alignment horizontal="center" vertical="center" wrapText="1"/>
    </xf>
    <xf numFmtId="167" fontId="25" fillId="2" borderId="3" xfId="0" applyNumberFormat="1" applyFont="1" applyFill="1" applyBorder="1" applyAlignment="1">
      <alignment horizontal="center" vertical="center" wrapText="1"/>
    </xf>
    <xf numFmtId="167" fontId="25" fillId="2" borderId="11" xfId="0" applyNumberFormat="1" applyFont="1" applyFill="1" applyBorder="1" applyAlignment="1">
      <alignment horizontal="center" vertical="center" wrapText="1"/>
    </xf>
    <xf numFmtId="167" fontId="25" fillId="2" borderId="5" xfId="0" applyNumberFormat="1" applyFont="1" applyFill="1" applyBorder="1" applyAlignment="1">
      <alignment horizontal="center" vertical="center" wrapText="1"/>
    </xf>
    <xf numFmtId="0" fontId="19" fillId="0" borderId="3"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5" xfId="0" applyFont="1" applyBorder="1" applyAlignment="1">
      <alignment horizontal="center" vertical="center" wrapText="1"/>
    </xf>
    <xf numFmtId="0" fontId="19" fillId="4" borderId="2" xfId="0" applyFont="1" applyFill="1" applyBorder="1" applyAlignment="1">
      <alignment horizontal="center" vertical="center" wrapText="1"/>
    </xf>
    <xf numFmtId="0" fontId="19" fillId="0" borderId="2" xfId="0" applyFont="1" applyBorder="1" applyAlignment="1">
      <alignment horizontal="center" vertical="center" wrapText="1"/>
    </xf>
    <xf numFmtId="0" fontId="19" fillId="0" borderId="2" xfId="0" applyFont="1" applyBorder="1" applyAlignment="1">
      <alignment horizontal="center" vertical="center"/>
    </xf>
    <xf numFmtId="0" fontId="20" fillId="0" borderId="0" xfId="0" applyFont="1" applyAlignment="1">
      <alignment horizontal="center" vertical="center"/>
    </xf>
  </cellXfs>
  <cellStyles count="10">
    <cellStyle name="Comma" xfId="9" builtinId="3"/>
    <cellStyle name="Comma 2" xfId="4"/>
    <cellStyle name="Normal" xfId="0" builtinId="0"/>
    <cellStyle name="Normal 2" xfId="3"/>
    <cellStyle name="Normal 2 2" xfId="5"/>
    <cellStyle name="Normal 3" xfId="6"/>
    <cellStyle name="Normal 3 2" xfId="7"/>
    <cellStyle name="Normal 4" xfId="1"/>
    <cellStyle name="Normal 4 2" xfId="8"/>
    <cellStyle name="Percent 2" xfId="2"/>
  </cellStyles>
  <dxfs count="0"/>
  <tableStyles count="0" defaultTableStyle="TableStyleMedium2" defaultPivotStyle="PivotStyleLight16"/>
  <colors>
    <mruColors>
      <color rgb="FF0000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D35"/>
  <sheetViews>
    <sheetView view="pageBreakPreview" zoomScale="55" zoomScaleNormal="70" zoomScaleSheetLayoutView="55" workbookViewId="0">
      <pane xSplit="13" ySplit="8" topLeftCell="N24" activePane="bottomRight" state="frozen"/>
      <selection pane="topRight" activeCell="N1" sqref="N1"/>
      <selection pane="bottomLeft" activeCell="A9" sqref="A9"/>
      <selection pane="bottomRight" activeCell="R4" sqref="R1:R1048576"/>
    </sheetView>
  </sheetViews>
  <sheetFormatPr defaultRowHeight="15.75" x14ac:dyDescent="0.25"/>
  <cols>
    <col min="1" max="1" width="6.28515625" style="1" customWidth="1"/>
    <col min="2" max="2" width="11.140625" style="1" customWidth="1"/>
    <col min="3" max="3" width="14.5703125" style="1" customWidth="1"/>
    <col min="4" max="4" width="31.42578125" style="1" customWidth="1"/>
    <col min="5" max="5" width="12.140625" style="1" customWidth="1"/>
    <col min="6" max="6" width="15" style="1" customWidth="1"/>
    <col min="7" max="7" width="16.28515625" style="1" customWidth="1"/>
    <col min="8" max="8" width="17.7109375" style="1" customWidth="1"/>
    <col min="9" max="9" width="12.85546875" style="1" customWidth="1"/>
    <col min="10" max="10" width="11.5703125" style="1" customWidth="1"/>
    <col min="11" max="11" width="9.140625" style="1"/>
    <col min="12" max="12" width="11" style="1" customWidth="1"/>
    <col min="13" max="13" width="9.140625" style="1"/>
    <col min="14" max="14" width="11.140625" style="1" customWidth="1"/>
    <col min="15" max="15" width="31.140625" style="1" customWidth="1"/>
    <col min="16" max="16" width="7.42578125" style="166" bestFit="1" customWidth="1"/>
    <col min="17" max="17" width="13.85546875" style="1" customWidth="1"/>
    <col min="18" max="18" width="14.42578125" style="263" customWidth="1"/>
    <col min="19" max="19" width="14" style="1" customWidth="1"/>
    <col min="20" max="20" width="10" style="1" customWidth="1"/>
    <col min="21" max="21" width="11.85546875" style="59" customWidth="1"/>
    <col min="22" max="22" width="2.28515625" style="1" customWidth="1"/>
    <col min="23" max="23" width="13.7109375" style="178" customWidth="1"/>
    <col min="24" max="24" width="14.7109375" style="1" customWidth="1"/>
    <col min="25" max="25" width="14.5703125" style="1" customWidth="1"/>
    <col min="26" max="26" width="14.85546875" style="1" customWidth="1"/>
    <col min="27" max="16384" width="9.140625" style="1"/>
  </cols>
  <sheetData>
    <row r="1" spans="1:30" ht="24.75" customHeight="1" x14ac:dyDescent="0.25">
      <c r="A1" s="380" t="s">
        <v>47</v>
      </c>
      <c r="B1" s="380"/>
      <c r="C1" s="380"/>
      <c r="D1" s="380"/>
      <c r="E1" s="380"/>
      <c r="F1" s="380"/>
      <c r="G1" s="380"/>
      <c r="H1" s="380"/>
      <c r="I1" s="380"/>
      <c r="J1" s="380"/>
      <c r="K1" s="380"/>
      <c r="L1" s="380"/>
      <c r="M1" s="380"/>
      <c r="N1" s="380"/>
      <c r="O1" s="380"/>
      <c r="P1" s="380"/>
      <c r="Q1" s="380"/>
      <c r="R1" s="380"/>
      <c r="S1" s="380"/>
      <c r="T1" s="380"/>
      <c r="U1" s="380"/>
    </row>
    <row r="2" spans="1:30" ht="21.75" customHeight="1" x14ac:dyDescent="0.25">
      <c r="A2" s="380" t="s">
        <v>56</v>
      </c>
      <c r="B2" s="380"/>
      <c r="C2" s="380"/>
      <c r="D2" s="380"/>
      <c r="E2" s="380"/>
      <c r="F2" s="380"/>
      <c r="G2" s="380"/>
      <c r="H2" s="380"/>
      <c r="I2" s="380"/>
      <c r="J2" s="380"/>
      <c r="K2" s="380"/>
      <c r="L2" s="380"/>
      <c r="M2" s="380"/>
      <c r="N2" s="380"/>
      <c r="O2" s="380"/>
      <c r="P2" s="380"/>
      <c r="Q2" s="380"/>
      <c r="R2" s="380"/>
      <c r="S2" s="380"/>
      <c r="T2" s="380"/>
      <c r="U2" s="380"/>
    </row>
    <row r="3" spans="1:30" ht="21.75" customHeight="1" x14ac:dyDescent="0.25">
      <c r="A3" s="381" t="s">
        <v>57</v>
      </c>
      <c r="B3" s="381"/>
      <c r="C3" s="381"/>
      <c r="D3" s="381"/>
      <c r="E3" s="381"/>
      <c r="F3" s="381"/>
      <c r="G3" s="381"/>
      <c r="H3" s="381"/>
      <c r="I3" s="381"/>
      <c r="J3" s="381"/>
      <c r="K3" s="381"/>
      <c r="L3" s="381"/>
      <c r="M3" s="381"/>
      <c r="N3" s="381"/>
      <c r="O3" s="381"/>
      <c r="P3" s="381"/>
      <c r="Q3" s="381"/>
      <c r="R3" s="381"/>
      <c r="S3" s="381"/>
      <c r="T3" s="381"/>
      <c r="U3" s="381"/>
    </row>
    <row r="4" spans="1:30" ht="19.5" x14ac:dyDescent="0.25">
      <c r="A4" s="72" t="s">
        <v>225</v>
      </c>
      <c r="S4" s="34" t="s">
        <v>17</v>
      </c>
    </row>
    <row r="5" spans="1:30" ht="3" customHeight="1" x14ac:dyDescent="0.25">
      <c r="A5" s="2"/>
      <c r="B5" s="2"/>
      <c r="C5" s="2"/>
      <c r="D5" s="2"/>
      <c r="E5" s="2"/>
      <c r="F5" s="2"/>
      <c r="G5" s="2"/>
      <c r="H5" s="2"/>
      <c r="I5" s="2"/>
      <c r="J5" s="2"/>
      <c r="K5" s="2"/>
      <c r="L5" s="2"/>
      <c r="M5" s="2"/>
      <c r="N5" s="2"/>
      <c r="O5" s="173"/>
      <c r="P5" s="167"/>
      <c r="R5" s="264"/>
      <c r="S5" s="4"/>
      <c r="T5" s="4"/>
      <c r="U5" s="3"/>
    </row>
    <row r="6" spans="1:30" s="40" customFormat="1" ht="69" customHeight="1" x14ac:dyDescent="0.25">
      <c r="A6" s="376" t="s">
        <v>20</v>
      </c>
      <c r="B6" s="376" t="s">
        <v>50</v>
      </c>
      <c r="C6" s="376" t="s">
        <v>23</v>
      </c>
      <c r="D6" s="376" t="s">
        <v>174</v>
      </c>
      <c r="E6" s="376" t="s">
        <v>249</v>
      </c>
      <c r="F6" s="376" t="s">
        <v>25</v>
      </c>
      <c r="G6" s="376" t="s">
        <v>214</v>
      </c>
      <c r="H6" s="376" t="s">
        <v>26</v>
      </c>
      <c r="I6" s="376" t="s">
        <v>36</v>
      </c>
      <c r="J6" s="385" t="s">
        <v>27</v>
      </c>
      <c r="K6" s="386"/>
      <c r="L6" s="386"/>
      <c r="M6" s="387"/>
      <c r="N6" s="145" t="s">
        <v>265</v>
      </c>
      <c r="O6" s="184" t="s">
        <v>267</v>
      </c>
      <c r="P6" s="185" t="s">
        <v>6</v>
      </c>
      <c r="Q6" s="145" t="s">
        <v>268</v>
      </c>
      <c r="R6" s="383" t="s">
        <v>33</v>
      </c>
      <c r="S6" s="376" t="s">
        <v>29</v>
      </c>
      <c r="T6" s="376" t="s">
        <v>22</v>
      </c>
      <c r="U6" s="376" t="s">
        <v>230</v>
      </c>
      <c r="W6" s="378" t="s">
        <v>261</v>
      </c>
      <c r="X6" s="376" t="s">
        <v>260</v>
      </c>
      <c r="Y6" s="378" t="s">
        <v>262</v>
      </c>
    </row>
    <row r="7" spans="1:30" s="40" customFormat="1" ht="62.25" customHeight="1" x14ac:dyDescent="0.25">
      <c r="A7" s="382"/>
      <c r="B7" s="382"/>
      <c r="C7" s="382"/>
      <c r="D7" s="382"/>
      <c r="E7" s="382"/>
      <c r="F7" s="382"/>
      <c r="G7" s="382"/>
      <c r="H7" s="382"/>
      <c r="I7" s="382"/>
      <c r="J7" s="83" t="s">
        <v>51</v>
      </c>
      <c r="K7" s="83" t="s">
        <v>21</v>
      </c>
      <c r="L7" s="83" t="s">
        <v>18</v>
      </c>
      <c r="M7" s="83" t="s">
        <v>15</v>
      </c>
      <c r="N7" s="83" t="s">
        <v>266</v>
      </c>
      <c r="O7" s="83" t="s">
        <v>266</v>
      </c>
      <c r="P7" s="186"/>
      <c r="Q7" s="83" t="s">
        <v>269</v>
      </c>
      <c r="R7" s="384"/>
      <c r="S7" s="382"/>
      <c r="T7" s="382"/>
      <c r="U7" s="382"/>
      <c r="W7" s="379"/>
      <c r="X7" s="377"/>
      <c r="Y7" s="379"/>
    </row>
    <row r="8" spans="1:30" s="54" customFormat="1" ht="16.5" x14ac:dyDescent="0.25">
      <c r="A8" s="53">
        <v>1</v>
      </c>
      <c r="B8" s="53">
        <v>2</v>
      </c>
      <c r="C8" s="53">
        <v>3</v>
      </c>
      <c r="D8" s="53">
        <v>4</v>
      </c>
      <c r="E8" s="53">
        <v>5</v>
      </c>
      <c r="F8" s="53">
        <v>6</v>
      </c>
      <c r="G8" s="53">
        <v>7</v>
      </c>
      <c r="H8" s="53">
        <v>8</v>
      </c>
      <c r="I8" s="53">
        <v>9</v>
      </c>
      <c r="J8" s="53">
        <v>10</v>
      </c>
      <c r="K8" s="53">
        <v>11</v>
      </c>
      <c r="L8" s="53">
        <v>12</v>
      </c>
      <c r="M8" s="53">
        <v>13</v>
      </c>
      <c r="N8" s="53">
        <v>14</v>
      </c>
      <c r="O8" s="174">
        <v>15</v>
      </c>
      <c r="P8" s="168">
        <v>16</v>
      </c>
      <c r="Q8" s="53">
        <v>17</v>
      </c>
      <c r="R8" s="265">
        <v>18</v>
      </c>
      <c r="S8" s="53">
        <v>19</v>
      </c>
      <c r="T8" s="53">
        <v>20</v>
      </c>
      <c r="U8" s="53">
        <v>21</v>
      </c>
      <c r="W8" s="179"/>
    </row>
    <row r="9" spans="1:30" s="6" customFormat="1" ht="24" customHeight="1" x14ac:dyDescent="0.25">
      <c r="A9" s="32" t="s">
        <v>63</v>
      </c>
      <c r="B9" s="32"/>
      <c r="C9" s="32"/>
      <c r="D9" s="32"/>
      <c r="E9" s="32"/>
      <c r="F9" s="32"/>
      <c r="G9" s="32"/>
      <c r="H9" s="32"/>
      <c r="I9" s="32"/>
      <c r="J9" s="32"/>
      <c r="K9" s="32"/>
      <c r="L9" s="32"/>
      <c r="M9" s="32"/>
      <c r="N9" s="32"/>
      <c r="O9" s="175"/>
      <c r="P9" s="169"/>
      <c r="Q9" s="32"/>
      <c r="R9" s="266"/>
      <c r="S9" s="32"/>
      <c r="T9" s="32"/>
      <c r="U9" s="5"/>
      <c r="W9" s="180"/>
    </row>
    <row r="10" spans="1:30" s="18" customFormat="1" ht="28.5" customHeight="1" x14ac:dyDescent="0.2">
      <c r="A10" s="7">
        <v>1</v>
      </c>
      <c r="B10" s="7" t="s">
        <v>76</v>
      </c>
      <c r="C10" s="8" t="s">
        <v>77</v>
      </c>
      <c r="D10" s="9" t="s">
        <v>78</v>
      </c>
      <c r="E10" s="10" t="s">
        <v>79</v>
      </c>
      <c r="F10" s="10" t="s">
        <v>80</v>
      </c>
      <c r="G10" s="11" t="s">
        <v>81</v>
      </c>
      <c r="H10" s="10" t="s">
        <v>82</v>
      </c>
      <c r="I10" s="10">
        <f>1594.42+143.61</f>
        <v>1738.0300000000002</v>
      </c>
      <c r="J10" s="12">
        <f t="shared" ref="J10:J16" si="0">I10-L10</f>
        <v>420.76000000000022</v>
      </c>
      <c r="K10" s="11" t="s">
        <v>83</v>
      </c>
      <c r="L10" s="13">
        <v>1317.27</v>
      </c>
      <c r="M10" s="14" t="s">
        <v>84</v>
      </c>
      <c r="N10" s="15" t="s">
        <v>253</v>
      </c>
      <c r="O10" s="15" t="s">
        <v>255</v>
      </c>
      <c r="P10" s="245" t="s">
        <v>84</v>
      </c>
      <c r="Q10" s="16">
        <f>ROUND(74592.52/10^7,3)</f>
        <v>7.0000000000000001E-3</v>
      </c>
      <c r="R10" s="267">
        <f>ROUND(15803003.27/10^7,3)</f>
        <v>1.58</v>
      </c>
      <c r="S10" s="16">
        <f>649.74+0.305+Q10+R10</f>
        <v>651.63199999999995</v>
      </c>
      <c r="T10" s="183">
        <f t="shared" ref="T10:T20" si="1">Y10/S10</f>
        <v>0.99998971812311244</v>
      </c>
      <c r="U10" s="10"/>
      <c r="W10" s="181">
        <f>1.5803</f>
        <v>1.5803</v>
      </c>
      <c r="X10" s="16">
        <f>649.74+0.305</f>
        <v>650.04499999999996</v>
      </c>
      <c r="Y10" s="16">
        <f>W10+X10</f>
        <v>651.62529999999992</v>
      </c>
      <c r="Z10" s="19" t="s">
        <v>85</v>
      </c>
      <c r="AD10" s="20">
        <v>7.0000000000000001E-3</v>
      </c>
    </row>
    <row r="11" spans="1:30" s="6" customFormat="1" ht="28.5" customHeight="1" x14ac:dyDescent="0.25">
      <c r="A11" s="7">
        <v>2</v>
      </c>
      <c r="B11" s="10" t="s">
        <v>86</v>
      </c>
      <c r="C11" s="10" t="s">
        <v>87</v>
      </c>
      <c r="D11" s="9" t="s">
        <v>88</v>
      </c>
      <c r="E11" s="10" t="s">
        <v>79</v>
      </c>
      <c r="F11" s="10" t="s">
        <v>89</v>
      </c>
      <c r="G11" s="11" t="s">
        <v>90</v>
      </c>
      <c r="H11" s="10" t="s">
        <v>91</v>
      </c>
      <c r="I11" s="10">
        <v>95.59</v>
      </c>
      <c r="J11" s="12">
        <f t="shared" si="0"/>
        <v>15.75</v>
      </c>
      <c r="K11" s="10" t="s">
        <v>92</v>
      </c>
      <c r="L11" s="29">
        <v>79.84</v>
      </c>
      <c r="M11" s="60" t="s">
        <v>84</v>
      </c>
      <c r="N11" s="21" t="s">
        <v>93</v>
      </c>
      <c r="O11" s="21" t="s">
        <v>254</v>
      </c>
      <c r="P11" s="245" t="s">
        <v>84</v>
      </c>
      <c r="Q11" s="16">
        <f>ROUND(-29421.21/10^7,3)</f>
        <v>-3.0000000000000001E-3</v>
      </c>
      <c r="R11" s="268">
        <v>0</v>
      </c>
      <c r="S11" s="16">
        <f>45.27+0.021+Q11+R11</f>
        <v>45.288000000000004</v>
      </c>
      <c r="T11" s="183">
        <f t="shared" si="1"/>
        <v>1.0000662427133016</v>
      </c>
      <c r="U11" s="10"/>
      <c r="W11" s="181">
        <v>0</v>
      </c>
      <c r="X11" s="16">
        <f>45.27+0.021</f>
        <v>45.291000000000004</v>
      </c>
      <c r="Y11" s="16">
        <f t="shared" ref="Y11:Y21" si="2">W11+X11</f>
        <v>45.291000000000004</v>
      </c>
    </row>
    <row r="12" spans="1:30" s="6" customFormat="1" ht="28.5" customHeight="1" x14ac:dyDescent="0.2">
      <c r="A12" s="7">
        <v>3</v>
      </c>
      <c r="B12" s="7" t="s">
        <v>94</v>
      </c>
      <c r="C12" s="10" t="s">
        <v>95</v>
      </c>
      <c r="D12" s="9" t="s">
        <v>96</v>
      </c>
      <c r="E12" s="10" t="s">
        <v>79</v>
      </c>
      <c r="F12" s="10" t="s">
        <v>97</v>
      </c>
      <c r="G12" s="11" t="s">
        <v>98</v>
      </c>
      <c r="H12" s="10" t="s">
        <v>99</v>
      </c>
      <c r="I12" s="10">
        <v>334.53</v>
      </c>
      <c r="J12" s="12">
        <f t="shared" si="0"/>
        <v>60.979999999999961</v>
      </c>
      <c r="K12" s="10" t="s">
        <v>83</v>
      </c>
      <c r="L12" s="13">
        <v>273.55</v>
      </c>
      <c r="M12" s="61"/>
      <c r="N12" s="15" t="s">
        <v>275</v>
      </c>
      <c r="O12" s="15" t="s">
        <v>256</v>
      </c>
      <c r="P12" s="245" t="s">
        <v>84</v>
      </c>
      <c r="Q12" s="16">
        <f>ROUND(114905.19/10^7,3)</f>
        <v>1.0999999999999999E-2</v>
      </c>
      <c r="R12" s="268">
        <v>0</v>
      </c>
      <c r="S12" s="79">
        <f>153.827+Q12</f>
        <v>153.83799999999999</v>
      </c>
      <c r="T12" s="183">
        <f t="shared" si="1"/>
        <v>0.99992849621029922</v>
      </c>
      <c r="U12" s="10"/>
      <c r="W12" s="182">
        <v>0</v>
      </c>
      <c r="X12" s="79">
        <f>153.827</f>
        <v>153.827</v>
      </c>
      <c r="Y12" s="16">
        <f t="shared" si="2"/>
        <v>153.827</v>
      </c>
    </row>
    <row r="13" spans="1:30" s="6" customFormat="1" ht="28.5" customHeight="1" x14ac:dyDescent="0.25">
      <c r="A13" s="7">
        <v>4</v>
      </c>
      <c r="B13" s="7" t="s">
        <v>100</v>
      </c>
      <c r="C13" s="8" t="s">
        <v>101</v>
      </c>
      <c r="D13" s="9" t="s">
        <v>102</v>
      </c>
      <c r="E13" s="10" t="s">
        <v>79</v>
      </c>
      <c r="F13" s="10" t="s">
        <v>103</v>
      </c>
      <c r="G13" s="11" t="s">
        <v>104</v>
      </c>
      <c r="H13" s="10" t="s">
        <v>105</v>
      </c>
      <c r="I13" s="10">
        <f>1279.05-100.08</f>
        <v>1178.97</v>
      </c>
      <c r="J13" s="12">
        <f t="shared" si="0"/>
        <v>177.32000000000005</v>
      </c>
      <c r="K13" s="10" t="s">
        <v>92</v>
      </c>
      <c r="L13" s="13">
        <v>1001.65</v>
      </c>
      <c r="M13" s="14" t="s">
        <v>84</v>
      </c>
      <c r="N13" s="10" t="s">
        <v>257</v>
      </c>
      <c r="O13" s="10" t="s">
        <v>258</v>
      </c>
      <c r="P13" s="245" t="s">
        <v>84</v>
      </c>
      <c r="Q13" s="17">
        <v>0</v>
      </c>
      <c r="R13" s="267">
        <f>ROUND(104332864.02/10^7,3)</f>
        <v>10.433</v>
      </c>
      <c r="S13" s="16">
        <f>927.17+1.142+Q13+R13</f>
        <v>938.745</v>
      </c>
      <c r="T13" s="183">
        <f t="shared" si="1"/>
        <v>1.0000002982705634</v>
      </c>
      <c r="U13" s="10"/>
      <c r="W13" s="181">
        <v>10.43328</v>
      </c>
      <c r="X13" s="16">
        <f>927.17+1.142</f>
        <v>928.31200000000001</v>
      </c>
      <c r="Y13" s="16">
        <f t="shared" si="2"/>
        <v>938.74527999999998</v>
      </c>
    </row>
    <row r="14" spans="1:30" s="6" customFormat="1" ht="28.5" customHeight="1" x14ac:dyDescent="0.2">
      <c r="A14" s="7">
        <v>5</v>
      </c>
      <c r="B14" s="7" t="s">
        <v>108</v>
      </c>
      <c r="C14" s="10" t="s">
        <v>109</v>
      </c>
      <c r="D14" s="9" t="s">
        <v>110</v>
      </c>
      <c r="E14" s="10" t="s">
        <v>111</v>
      </c>
      <c r="F14" s="10" t="s">
        <v>112</v>
      </c>
      <c r="G14" s="11" t="s">
        <v>113</v>
      </c>
      <c r="H14" s="10" t="s">
        <v>114</v>
      </c>
      <c r="I14" s="13">
        <v>1151.5999999999999</v>
      </c>
      <c r="J14" s="12">
        <f t="shared" si="0"/>
        <v>20.429999999999836</v>
      </c>
      <c r="K14" s="10" t="s">
        <v>83</v>
      </c>
      <c r="L14" s="22">
        <v>1131.17</v>
      </c>
      <c r="M14" s="61"/>
      <c r="N14" s="15" t="s">
        <v>115</v>
      </c>
      <c r="O14" s="15" t="s">
        <v>259</v>
      </c>
      <c r="P14" s="245" t="s">
        <v>84</v>
      </c>
      <c r="Q14" s="16">
        <f>ROUND(5042715.6/10^7,3)</f>
        <v>0.504</v>
      </c>
      <c r="R14" s="268">
        <v>0</v>
      </c>
      <c r="S14" s="16">
        <f>452.24+408.936+Q14+R14</f>
        <v>861.68</v>
      </c>
      <c r="T14" s="183">
        <f t="shared" si="1"/>
        <v>0.99941509609135637</v>
      </c>
      <c r="U14" s="10"/>
      <c r="W14" s="181">
        <v>0</v>
      </c>
      <c r="X14" s="16">
        <f>452.24+408.936</f>
        <v>861.17599999999993</v>
      </c>
      <c r="Y14" s="16">
        <f t="shared" si="2"/>
        <v>861.17599999999993</v>
      </c>
    </row>
    <row r="15" spans="1:30" s="6" customFormat="1" ht="28.5" customHeight="1" x14ac:dyDescent="0.25">
      <c r="A15" s="7">
        <v>6</v>
      </c>
      <c r="B15" s="7" t="s">
        <v>116</v>
      </c>
      <c r="C15" s="8" t="s">
        <v>117</v>
      </c>
      <c r="D15" s="9" t="s">
        <v>118</v>
      </c>
      <c r="E15" s="10" t="s">
        <v>79</v>
      </c>
      <c r="F15" s="10" t="s">
        <v>119</v>
      </c>
      <c r="G15" s="11" t="s">
        <v>120</v>
      </c>
      <c r="H15" s="10" t="s">
        <v>121</v>
      </c>
      <c r="I15" s="13">
        <f>1669+117.4</f>
        <v>1786.4</v>
      </c>
      <c r="J15" s="12">
        <f t="shared" si="0"/>
        <v>8.1400000000001</v>
      </c>
      <c r="K15" s="10" t="s">
        <v>92</v>
      </c>
      <c r="L15" s="13">
        <v>1778.26</v>
      </c>
      <c r="M15" s="14" t="s">
        <v>84</v>
      </c>
      <c r="N15" s="21" t="s">
        <v>122</v>
      </c>
      <c r="O15" s="15" t="s">
        <v>123</v>
      </c>
      <c r="P15" s="245" t="s">
        <v>84</v>
      </c>
      <c r="Q15" s="17">
        <f>ROUND(97874116.15/10^7,3)</f>
        <v>9.7870000000000008</v>
      </c>
      <c r="R15" s="267">
        <f>ROUND(127407021.54/10^7,3)</f>
        <v>12.741</v>
      </c>
      <c r="S15" s="16">
        <f>1567.52+151.467+Q15+R15</f>
        <v>1741.5150000000001</v>
      </c>
      <c r="T15" s="183">
        <f t="shared" si="1"/>
        <v>0.9943800082112414</v>
      </c>
      <c r="U15" s="10"/>
      <c r="W15" s="181">
        <f>12.7407</f>
        <v>12.7407</v>
      </c>
      <c r="X15" s="16">
        <f>1567.52+151.467</f>
        <v>1718.9870000000001</v>
      </c>
      <c r="Y15" s="16">
        <f t="shared" si="2"/>
        <v>1731.7277000000001</v>
      </c>
    </row>
    <row r="16" spans="1:30" s="6" customFormat="1" ht="28.5" customHeight="1" x14ac:dyDescent="0.25">
      <c r="A16" s="7">
        <v>7</v>
      </c>
      <c r="B16" s="7" t="s">
        <v>124</v>
      </c>
      <c r="C16" s="8" t="s">
        <v>125</v>
      </c>
      <c r="D16" s="9" t="s">
        <v>126</v>
      </c>
      <c r="E16" s="10" t="s">
        <v>79</v>
      </c>
      <c r="F16" s="10" t="s">
        <v>127</v>
      </c>
      <c r="G16" s="11" t="s">
        <v>128</v>
      </c>
      <c r="H16" s="10" t="s">
        <v>129</v>
      </c>
      <c r="I16" s="10">
        <f>423.31+30.92</f>
        <v>454.23</v>
      </c>
      <c r="J16" s="12">
        <f t="shared" si="0"/>
        <v>49.230000000000018</v>
      </c>
      <c r="K16" s="10" t="s">
        <v>92</v>
      </c>
      <c r="L16" s="22">
        <v>405</v>
      </c>
      <c r="M16" s="14" t="s">
        <v>84</v>
      </c>
      <c r="N16" s="15" t="s">
        <v>130</v>
      </c>
      <c r="O16" s="15" t="s">
        <v>271</v>
      </c>
      <c r="P16" s="245" t="s">
        <v>84</v>
      </c>
      <c r="Q16" s="17">
        <f>ROUND(1217019132.56/10^7,3)</f>
        <v>121.702</v>
      </c>
      <c r="R16" s="267">
        <f>ROUND(491235921.46/10^7,3)</f>
        <v>49.124000000000002</v>
      </c>
      <c r="S16" s="16">
        <f>Q16+R16</f>
        <v>170.82599999999999</v>
      </c>
      <c r="T16" s="183">
        <f t="shared" si="1"/>
        <v>0</v>
      </c>
      <c r="U16" s="10" t="s">
        <v>264</v>
      </c>
      <c r="W16" s="181">
        <v>0</v>
      </c>
      <c r="X16" s="16">
        <v>0</v>
      </c>
      <c r="Y16" s="16">
        <f t="shared" si="2"/>
        <v>0</v>
      </c>
    </row>
    <row r="17" spans="1:25" s="6" customFormat="1" ht="28.5" customHeight="1" x14ac:dyDescent="0.25">
      <c r="A17" s="7">
        <v>8</v>
      </c>
      <c r="B17" s="7" t="s">
        <v>131</v>
      </c>
      <c r="C17" s="8" t="s">
        <v>132</v>
      </c>
      <c r="D17" s="9" t="s">
        <v>133</v>
      </c>
      <c r="E17" s="10" t="s">
        <v>79</v>
      </c>
      <c r="F17" s="10" t="s">
        <v>134</v>
      </c>
      <c r="G17" s="11" t="s">
        <v>202</v>
      </c>
      <c r="H17" s="10" t="s">
        <v>135</v>
      </c>
      <c r="I17" s="10">
        <f>228.87+20.92</f>
        <v>249.79000000000002</v>
      </c>
      <c r="J17" s="12">
        <f>I17-M17</f>
        <v>91.070000000000022</v>
      </c>
      <c r="K17" s="11" t="s">
        <v>136</v>
      </c>
      <c r="L17" s="149">
        <v>0</v>
      </c>
      <c r="M17" s="23">
        <v>158.72</v>
      </c>
      <c r="N17" s="15" t="s">
        <v>130</v>
      </c>
      <c r="O17" s="15" t="s">
        <v>271</v>
      </c>
      <c r="P17" s="245" t="s">
        <v>84</v>
      </c>
      <c r="Q17" s="17">
        <f>ROUND(451918365.41/10^7,3)</f>
        <v>45.192</v>
      </c>
      <c r="R17" s="267">
        <f>ROUND(844980070.06/10^7,3)</f>
        <v>84.498000000000005</v>
      </c>
      <c r="S17" s="16">
        <f>3.629+Q17+R17</f>
        <v>133.31900000000002</v>
      </c>
      <c r="T17" s="183">
        <f t="shared" si="1"/>
        <v>0.36370359813679964</v>
      </c>
      <c r="U17" s="10" t="s">
        <v>263</v>
      </c>
      <c r="W17" s="181">
        <v>44.8596</v>
      </c>
      <c r="X17" s="79">
        <f>3.629</f>
        <v>3.629</v>
      </c>
      <c r="Y17" s="16">
        <f t="shared" si="2"/>
        <v>48.488599999999998</v>
      </c>
    </row>
    <row r="18" spans="1:25" s="6" customFormat="1" ht="28.5" customHeight="1" x14ac:dyDescent="0.25">
      <c r="A18" s="7">
        <v>9</v>
      </c>
      <c r="B18" s="7" t="s">
        <v>138</v>
      </c>
      <c r="C18" s="11" t="s">
        <v>139</v>
      </c>
      <c r="D18" s="24" t="s">
        <v>139</v>
      </c>
      <c r="E18" s="10" t="s">
        <v>79</v>
      </c>
      <c r="F18" s="25" t="s">
        <v>84</v>
      </c>
      <c r="G18" s="25" t="s">
        <v>84</v>
      </c>
      <c r="H18" s="25" t="s">
        <v>84</v>
      </c>
      <c r="I18" s="25" t="s">
        <v>84</v>
      </c>
      <c r="J18" s="25" t="s">
        <v>84</v>
      </c>
      <c r="K18" s="25" t="s">
        <v>84</v>
      </c>
      <c r="L18" s="25" t="s">
        <v>84</v>
      </c>
      <c r="M18" s="14" t="s">
        <v>84</v>
      </c>
      <c r="N18" s="26" t="s">
        <v>140</v>
      </c>
      <c r="O18" s="10" t="s">
        <v>141</v>
      </c>
      <c r="P18" s="245" t="s">
        <v>84</v>
      </c>
      <c r="Q18" s="27"/>
      <c r="R18" s="267">
        <f>ROUND(483155.25/10^7,3)</f>
        <v>4.8000000000000001E-2</v>
      </c>
      <c r="S18" s="16">
        <f>0.805+Q18+R18</f>
        <v>0.85300000000000009</v>
      </c>
      <c r="T18" s="183">
        <f t="shared" si="1"/>
        <v>1.0003516998827666</v>
      </c>
      <c r="U18" s="10"/>
      <c r="W18" s="181">
        <v>4.8300000000000003E-2</v>
      </c>
      <c r="X18" s="16">
        <f>0.805</f>
        <v>0.80500000000000005</v>
      </c>
      <c r="Y18" s="16">
        <f t="shared" si="2"/>
        <v>0.85330000000000006</v>
      </c>
    </row>
    <row r="19" spans="1:25" s="6" customFormat="1" ht="28.5" customHeight="1" x14ac:dyDescent="0.25">
      <c r="A19" s="7">
        <v>10</v>
      </c>
      <c r="B19" s="7" t="s">
        <v>142</v>
      </c>
      <c r="C19" s="8" t="s">
        <v>143</v>
      </c>
      <c r="D19" s="9" t="s">
        <v>199</v>
      </c>
      <c r="E19" s="10" t="s">
        <v>111</v>
      </c>
      <c r="F19" s="10" t="s">
        <v>144</v>
      </c>
      <c r="G19" s="11" t="s">
        <v>145</v>
      </c>
      <c r="H19" s="10" t="s">
        <v>146</v>
      </c>
      <c r="I19" s="10">
        <f>2144.65+209.7</f>
        <v>2354.35</v>
      </c>
      <c r="J19" s="12">
        <f>I19-(1102.26+1110.65)</f>
        <v>141.44000000000005</v>
      </c>
      <c r="K19" s="10" t="s">
        <v>147</v>
      </c>
      <c r="L19" s="28" t="s">
        <v>148</v>
      </c>
      <c r="M19" s="14" t="s">
        <v>84</v>
      </c>
      <c r="N19" s="15" t="s">
        <v>130</v>
      </c>
      <c r="O19" s="15" t="s">
        <v>271</v>
      </c>
      <c r="P19" s="245" t="s">
        <v>84</v>
      </c>
      <c r="Q19" s="17">
        <f>ROUND(8694137155.36/10^7,3)</f>
        <v>869.41399999999999</v>
      </c>
      <c r="R19" s="267">
        <f>ROUND(1802507005.54/10^7,3)</f>
        <v>180.251</v>
      </c>
      <c r="S19" s="16">
        <f>385.524+Q19+R19</f>
        <v>1435.1890000000001</v>
      </c>
      <c r="T19" s="183">
        <f t="shared" si="1"/>
        <v>0.30902619794326741</v>
      </c>
      <c r="U19" s="10" t="s">
        <v>263</v>
      </c>
      <c r="W19" s="181">
        <f>57.987</f>
        <v>57.987000000000002</v>
      </c>
      <c r="X19" s="16">
        <f>385.524</f>
        <v>385.524</v>
      </c>
      <c r="Y19" s="16">
        <f t="shared" si="2"/>
        <v>443.51100000000002</v>
      </c>
    </row>
    <row r="20" spans="1:25" s="6" customFormat="1" ht="28.5" customHeight="1" x14ac:dyDescent="0.25">
      <c r="A20" s="7">
        <v>11</v>
      </c>
      <c r="B20" s="7" t="s">
        <v>149</v>
      </c>
      <c r="C20" s="8" t="s">
        <v>150</v>
      </c>
      <c r="D20" s="9" t="s">
        <v>151</v>
      </c>
      <c r="E20" s="10" t="s">
        <v>79</v>
      </c>
      <c r="F20" s="10" t="s">
        <v>270</v>
      </c>
      <c r="G20" s="233" t="s">
        <v>276</v>
      </c>
      <c r="H20" s="10" t="s">
        <v>154</v>
      </c>
      <c r="I20" s="12">
        <f>175.48+12</f>
        <v>187.48</v>
      </c>
      <c r="J20" s="12">
        <f>I20-L20</f>
        <v>19.179999999999978</v>
      </c>
      <c r="K20" s="11" t="s">
        <v>155</v>
      </c>
      <c r="L20" s="29">
        <v>168.3</v>
      </c>
      <c r="M20" s="14" t="s">
        <v>84</v>
      </c>
      <c r="N20" s="15" t="s">
        <v>156</v>
      </c>
      <c r="O20" s="15" t="s">
        <v>271</v>
      </c>
      <c r="P20" s="245" t="s">
        <v>84</v>
      </c>
      <c r="Q20" s="17">
        <f>ROUND(731907691.5/10^7,3)</f>
        <v>73.191000000000003</v>
      </c>
      <c r="R20" s="267">
        <f>ROUND(535238934.19/10^7,3)</f>
        <v>53.524000000000001</v>
      </c>
      <c r="S20" s="16">
        <f>Q20+R20</f>
        <v>126.715</v>
      </c>
      <c r="T20" s="183">
        <f t="shared" si="1"/>
        <v>0.98994830919780608</v>
      </c>
      <c r="U20" s="10" t="s">
        <v>263</v>
      </c>
      <c r="W20" s="181">
        <f>125.4413</f>
        <v>125.4413</v>
      </c>
      <c r="X20" s="16">
        <v>0</v>
      </c>
      <c r="Y20" s="16">
        <f t="shared" si="2"/>
        <v>125.4413</v>
      </c>
    </row>
    <row r="21" spans="1:25" s="6" customFormat="1" ht="28.5" customHeight="1" x14ac:dyDescent="0.25">
      <c r="A21" s="7">
        <v>12</v>
      </c>
      <c r="B21" s="7" t="s">
        <v>158</v>
      </c>
      <c r="C21" s="8" t="s">
        <v>159</v>
      </c>
      <c r="D21" s="9" t="s">
        <v>160</v>
      </c>
      <c r="E21" s="10" t="s">
        <v>79</v>
      </c>
      <c r="F21" s="25" t="s">
        <v>84</v>
      </c>
      <c r="G21" s="25" t="s">
        <v>84</v>
      </c>
      <c r="H21" s="25" t="s">
        <v>84</v>
      </c>
      <c r="I21" s="25" t="s">
        <v>84</v>
      </c>
      <c r="J21" s="25" t="s">
        <v>84</v>
      </c>
      <c r="K21" s="25" t="s">
        <v>84</v>
      </c>
      <c r="L21" s="25" t="s">
        <v>84</v>
      </c>
      <c r="M21" s="14" t="s">
        <v>84</v>
      </c>
      <c r="N21" s="25" t="s">
        <v>84</v>
      </c>
      <c r="O21" s="25" t="s">
        <v>84</v>
      </c>
      <c r="P21" s="170" t="s">
        <v>84</v>
      </c>
      <c r="Q21" s="25">
        <v>0</v>
      </c>
      <c r="R21" s="267">
        <f>ROUND(607222.1/10^7,3)</f>
        <v>6.0999999999999999E-2</v>
      </c>
      <c r="S21" s="16">
        <f>Q21+R21</f>
        <v>6.0999999999999999E-2</v>
      </c>
      <c r="T21" s="25" t="s">
        <v>84</v>
      </c>
      <c r="U21" s="25" t="s">
        <v>84</v>
      </c>
      <c r="W21" s="181">
        <f>0.0607</f>
        <v>6.0699999999999997E-2</v>
      </c>
      <c r="X21" s="16"/>
      <c r="Y21" s="16">
        <f t="shared" si="2"/>
        <v>6.0699999999999997E-2</v>
      </c>
    </row>
    <row r="22" spans="1:25" s="6" customFormat="1" ht="28.5" customHeight="1" x14ac:dyDescent="0.25">
      <c r="A22" s="150" t="s">
        <v>64</v>
      </c>
      <c r="B22" s="151"/>
      <c r="C22" s="152"/>
      <c r="D22" s="31"/>
      <c r="E22" s="31"/>
      <c r="F22" s="31"/>
      <c r="G22" s="31"/>
      <c r="H22" s="31"/>
      <c r="I22" s="35"/>
      <c r="J22" s="35"/>
      <c r="K22" s="56"/>
      <c r="L22" s="57"/>
      <c r="M22" s="57"/>
      <c r="N22" s="31"/>
      <c r="O22" s="176"/>
      <c r="P22" s="171"/>
      <c r="Q22" s="38">
        <f>SUM(Q10:Q21)</f>
        <v>1119.8050000000001</v>
      </c>
      <c r="R22" s="269">
        <f>SUM(R10:R21)</f>
        <v>392.26</v>
      </c>
      <c r="S22" s="38">
        <f>SUM(S10:S21)</f>
        <v>6259.661000000001</v>
      </c>
      <c r="T22" s="31"/>
      <c r="U22" s="5"/>
      <c r="W22" s="38">
        <f>SUM(W10:W21)</f>
        <v>253.15118000000001</v>
      </c>
      <c r="X22" s="38">
        <f>SUM(X10:X21)</f>
        <v>4747.5960000000005</v>
      </c>
      <c r="Y22" s="38">
        <f>SUM(Y10:Y21)</f>
        <v>5000.7471800000003</v>
      </c>
    </row>
    <row r="23" spans="1:25" s="6" customFormat="1" ht="28.5" customHeight="1" x14ac:dyDescent="0.25">
      <c r="A23" s="35"/>
      <c r="B23" s="56"/>
      <c r="C23" s="57"/>
      <c r="D23" s="5"/>
      <c r="E23" s="5"/>
      <c r="F23" s="5"/>
      <c r="G23" s="5"/>
      <c r="H23" s="5"/>
      <c r="I23" s="5"/>
      <c r="J23" s="35"/>
      <c r="K23" s="56"/>
      <c r="L23" s="57"/>
      <c r="M23" s="5"/>
      <c r="N23" s="5"/>
      <c r="O23" s="177"/>
      <c r="P23" s="172"/>
      <c r="Q23" s="5"/>
      <c r="R23" s="270"/>
      <c r="S23" s="5"/>
      <c r="T23" s="5"/>
      <c r="U23" s="5"/>
      <c r="W23" s="180"/>
    </row>
    <row r="24" spans="1:25" s="6" customFormat="1" ht="28.5" customHeight="1" x14ac:dyDescent="0.25">
      <c r="A24" s="32" t="s">
        <v>213</v>
      </c>
      <c r="B24" s="32"/>
      <c r="C24" s="32"/>
      <c r="D24" s="32"/>
      <c r="E24" s="32"/>
      <c r="F24" s="32"/>
      <c r="G24" s="32"/>
      <c r="H24" s="32"/>
      <c r="I24" s="32"/>
      <c r="J24" s="35"/>
      <c r="K24" s="56"/>
      <c r="L24" s="57"/>
      <c r="M24" s="32"/>
      <c r="N24" s="32"/>
      <c r="O24" s="175"/>
      <c r="P24" s="169"/>
      <c r="Q24" s="32"/>
      <c r="R24" s="266"/>
      <c r="S24" s="32"/>
      <c r="T24" s="32"/>
      <c r="U24" s="5"/>
      <c r="W24" s="180"/>
    </row>
    <row r="25" spans="1:25" s="6" customFormat="1" ht="28.5" customHeight="1" x14ac:dyDescent="0.25">
      <c r="A25" s="146" t="s">
        <v>65</v>
      </c>
      <c r="B25" s="147"/>
      <c r="C25" s="148"/>
      <c r="D25" s="5"/>
      <c r="E25" s="5"/>
      <c r="F25" s="5"/>
      <c r="G25" s="5"/>
      <c r="H25" s="5"/>
      <c r="I25" s="5"/>
      <c r="J25" s="35"/>
      <c r="K25" s="56"/>
      <c r="L25" s="57"/>
      <c r="M25" s="5"/>
      <c r="N25" s="5"/>
      <c r="O25" s="177"/>
      <c r="P25" s="172"/>
      <c r="Q25" s="5"/>
      <c r="R25" s="270"/>
      <c r="S25" s="5"/>
      <c r="T25" s="5"/>
      <c r="U25" s="5"/>
      <c r="W25" s="180"/>
    </row>
    <row r="26" spans="1:25" s="6" customFormat="1" ht="28.5" customHeight="1" x14ac:dyDescent="0.25">
      <c r="A26" s="32" t="s">
        <v>66</v>
      </c>
      <c r="B26" s="32"/>
      <c r="C26" s="32"/>
      <c r="D26" s="32"/>
      <c r="E26" s="32"/>
      <c r="F26" s="32"/>
      <c r="G26" s="32"/>
      <c r="H26" s="32"/>
      <c r="I26" s="32"/>
      <c r="J26" s="35"/>
      <c r="K26" s="56"/>
      <c r="L26" s="57"/>
      <c r="M26" s="32"/>
      <c r="N26" s="32"/>
      <c r="O26" s="175"/>
      <c r="P26" s="169"/>
      <c r="Q26" s="32"/>
      <c r="R26" s="266"/>
      <c r="S26" s="32"/>
      <c r="T26" s="32"/>
      <c r="U26" s="5"/>
      <c r="W26" s="180"/>
    </row>
    <row r="27" spans="1:25" s="6" customFormat="1" ht="28.5" customHeight="1" x14ac:dyDescent="0.25">
      <c r="A27" s="7">
        <v>1</v>
      </c>
      <c r="B27" s="7" t="s">
        <v>161</v>
      </c>
      <c r="C27" s="8" t="s">
        <v>162</v>
      </c>
      <c r="D27" s="9" t="s">
        <v>162</v>
      </c>
      <c r="E27" s="10" t="s">
        <v>79</v>
      </c>
      <c r="F27" s="25" t="s">
        <v>84</v>
      </c>
      <c r="G27" s="25" t="s">
        <v>84</v>
      </c>
      <c r="H27" s="25" t="s">
        <v>84</v>
      </c>
      <c r="I27" s="25" t="s">
        <v>84</v>
      </c>
      <c r="J27" s="388" t="s">
        <v>273</v>
      </c>
      <c r="K27" s="389"/>
      <c r="L27" s="390"/>
      <c r="M27" s="25" t="s">
        <v>84</v>
      </c>
      <c r="N27" s="149" t="s">
        <v>163</v>
      </c>
      <c r="O27" s="149" t="s">
        <v>164</v>
      </c>
      <c r="P27" s="245" t="s">
        <v>84</v>
      </c>
      <c r="Q27" s="25">
        <v>0</v>
      </c>
      <c r="R27" s="271">
        <f>ROUND(-17242.51/10^7,4)</f>
        <v>-1.6999999999999999E-3</v>
      </c>
      <c r="S27" s="16">
        <f>16.58+Q27+R27</f>
        <v>16.578299999999999</v>
      </c>
      <c r="T27" s="183">
        <f>Y27/S27</f>
        <v>1</v>
      </c>
      <c r="U27" s="25" t="s">
        <v>84</v>
      </c>
      <c r="W27" s="181">
        <f>-0.0017</f>
        <v>-1.6999999999999999E-3</v>
      </c>
      <c r="X27" s="25">
        <f>16.58</f>
        <v>16.579999999999998</v>
      </c>
      <c r="Y27" s="16">
        <f t="shared" ref="Y27" si="3">W27+X27</f>
        <v>16.578299999999999</v>
      </c>
    </row>
    <row r="28" spans="1:25" s="6" customFormat="1" ht="28.5" customHeight="1" x14ac:dyDescent="0.25">
      <c r="A28" s="7">
        <v>2</v>
      </c>
      <c r="B28" s="7" t="s">
        <v>165</v>
      </c>
      <c r="C28" s="8" t="s">
        <v>166</v>
      </c>
      <c r="D28" s="30" t="s">
        <v>167</v>
      </c>
      <c r="E28" s="10" t="s">
        <v>168</v>
      </c>
      <c r="F28" s="25" t="s">
        <v>84</v>
      </c>
      <c r="G28" s="25" t="s">
        <v>84</v>
      </c>
      <c r="H28" s="25" t="s">
        <v>84</v>
      </c>
      <c r="I28" s="25" t="s">
        <v>84</v>
      </c>
      <c r="J28" s="388" t="s">
        <v>273</v>
      </c>
      <c r="K28" s="389"/>
      <c r="L28" s="390"/>
      <c r="M28" s="14"/>
      <c r="N28" s="149" t="s">
        <v>169</v>
      </c>
      <c r="O28" s="149" t="s">
        <v>170</v>
      </c>
      <c r="P28" s="245" t="s">
        <v>84</v>
      </c>
      <c r="Q28" s="25">
        <v>0</v>
      </c>
      <c r="R28" s="271">
        <f>ROUND(4338523.72/10^7,4)</f>
        <v>0.43390000000000001</v>
      </c>
      <c r="S28" s="16">
        <f>21.88+0.039+Q28+R28</f>
        <v>22.352900000000002</v>
      </c>
      <c r="T28" s="183">
        <f>Y28/S28</f>
        <v>0.9999977631537742</v>
      </c>
      <c r="U28" s="25" t="s">
        <v>84</v>
      </c>
      <c r="W28" s="181">
        <v>0.43385000000000001</v>
      </c>
      <c r="X28" s="25">
        <f>21.88+0.039</f>
        <v>21.919</v>
      </c>
      <c r="Y28" s="16">
        <f t="shared" ref="Y28:Y29" si="4">W28+X28</f>
        <v>22.35285</v>
      </c>
    </row>
    <row r="29" spans="1:25" s="6" customFormat="1" ht="28.5" customHeight="1" x14ac:dyDescent="0.25">
      <c r="A29" s="7">
        <v>3</v>
      </c>
      <c r="B29" s="7" t="s">
        <v>171</v>
      </c>
      <c r="C29" s="8" t="s">
        <v>172</v>
      </c>
      <c r="D29" s="9" t="s">
        <v>173</v>
      </c>
      <c r="E29" s="10" t="s">
        <v>168</v>
      </c>
      <c r="F29" s="25" t="s">
        <v>84</v>
      </c>
      <c r="G29" s="25" t="s">
        <v>84</v>
      </c>
      <c r="H29" s="25" t="s">
        <v>84</v>
      </c>
      <c r="I29" s="25" t="s">
        <v>84</v>
      </c>
      <c r="J29" s="36" t="s">
        <v>274</v>
      </c>
      <c r="K29" s="37"/>
      <c r="L29" s="37"/>
      <c r="M29" s="14" t="s">
        <v>84</v>
      </c>
      <c r="N29" s="25" t="s">
        <v>84</v>
      </c>
      <c r="O29" s="25" t="s">
        <v>84</v>
      </c>
      <c r="P29" s="170" t="s">
        <v>84</v>
      </c>
      <c r="Q29" s="25" t="s">
        <v>84</v>
      </c>
      <c r="R29" s="271">
        <f>ROUND(407899/10^7,4)</f>
        <v>4.0800000000000003E-2</v>
      </c>
      <c r="S29" s="27">
        <f>R29</f>
        <v>4.0800000000000003E-2</v>
      </c>
      <c r="T29" s="25" t="s">
        <v>84</v>
      </c>
      <c r="U29" s="25" t="s">
        <v>84</v>
      </c>
      <c r="W29" s="181">
        <v>0</v>
      </c>
      <c r="X29" s="25"/>
      <c r="Y29" s="16">
        <f t="shared" si="4"/>
        <v>0</v>
      </c>
    </row>
    <row r="30" spans="1:25" ht="28.5" customHeight="1" x14ac:dyDescent="0.25">
      <c r="A30" s="150" t="s">
        <v>212</v>
      </c>
      <c r="B30" s="151"/>
      <c r="C30" s="152"/>
      <c r="D30" s="5"/>
      <c r="E30" s="5"/>
      <c r="F30" s="5"/>
      <c r="G30" s="5"/>
      <c r="H30" s="5"/>
      <c r="I30" s="74"/>
      <c r="J30" s="76"/>
      <c r="K30" s="77"/>
      <c r="L30" s="78"/>
      <c r="M30" s="75"/>
      <c r="N30" s="5"/>
      <c r="O30" s="177"/>
      <c r="P30" s="172"/>
      <c r="Q30" s="38">
        <f>SUM(Q27:Q29)</f>
        <v>0</v>
      </c>
      <c r="R30" s="272">
        <f>SUM(R27:R29)</f>
        <v>0.47300000000000003</v>
      </c>
      <c r="S30" s="38">
        <f>SUM(S27:S29)</f>
        <v>38.972000000000001</v>
      </c>
      <c r="T30" s="5"/>
      <c r="U30" s="5"/>
    </row>
    <row r="31" spans="1:25" ht="28.5" customHeight="1" x14ac:dyDescent="0.25">
      <c r="A31" s="150" t="s">
        <v>68</v>
      </c>
      <c r="B31" s="151"/>
      <c r="C31" s="152"/>
      <c r="D31" s="5"/>
      <c r="E31" s="5"/>
      <c r="F31" s="5"/>
      <c r="G31" s="5"/>
      <c r="H31" s="5"/>
      <c r="I31" s="5"/>
      <c r="J31" s="76"/>
      <c r="K31" s="77"/>
      <c r="L31" s="78"/>
      <c r="M31" s="5"/>
      <c r="N31" s="5"/>
      <c r="O31" s="177"/>
      <c r="P31" s="172"/>
      <c r="Q31" s="38">
        <f>Q22+Q25+Q30</f>
        <v>1119.8050000000001</v>
      </c>
      <c r="R31" s="269">
        <f>R22+R25+R30</f>
        <v>392.733</v>
      </c>
      <c r="S31" s="38">
        <f>S22+S25+S30</f>
        <v>6298.6330000000007</v>
      </c>
      <c r="T31" s="5"/>
      <c r="U31" s="5"/>
    </row>
    <row r="32" spans="1:25" ht="28.5" customHeight="1" x14ac:dyDescent="0.25"/>
    <row r="33" spans="1:17" ht="28.5" customHeight="1" x14ac:dyDescent="0.25">
      <c r="Q33" s="1" t="s">
        <v>210</v>
      </c>
    </row>
    <row r="34" spans="1:17" ht="28.5" customHeight="1" x14ac:dyDescent="0.25">
      <c r="A34" s="1" t="s">
        <v>44</v>
      </c>
    </row>
    <row r="35" spans="1:17" ht="28.5" customHeight="1" x14ac:dyDescent="0.25">
      <c r="A35" s="1" t="s">
        <v>55</v>
      </c>
    </row>
  </sheetData>
  <autoFilter ref="A8:AD35"/>
  <mergeCells count="22">
    <mergeCell ref="U6:U7"/>
    <mergeCell ref="H6:H7"/>
    <mergeCell ref="I6:I7"/>
    <mergeCell ref="J6:M6"/>
    <mergeCell ref="J28:L28"/>
    <mergeCell ref="J27:L27"/>
    <mergeCell ref="X6:X7"/>
    <mergeCell ref="W6:W7"/>
    <mergeCell ref="Y6:Y7"/>
    <mergeCell ref="A1:U1"/>
    <mergeCell ref="A2:U2"/>
    <mergeCell ref="A3:U3"/>
    <mergeCell ref="A6:A7"/>
    <mergeCell ref="B6:B7"/>
    <mergeCell ref="C6:C7"/>
    <mergeCell ref="D6:D7"/>
    <mergeCell ref="E6:E7"/>
    <mergeCell ref="F6:F7"/>
    <mergeCell ref="G6:G7"/>
    <mergeCell ref="R6:R7"/>
    <mergeCell ref="S6:S7"/>
    <mergeCell ref="T6:T7"/>
  </mergeCells>
  <printOptions horizontalCentered="1"/>
  <pageMargins left="0.5" right="0.5" top="0.41" bottom="0.25" header="0.15" footer="0.15"/>
  <pageSetup paperSize="5" scale="59"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33"/>
  <sheetViews>
    <sheetView view="pageBreakPreview" zoomScale="47" zoomScaleNormal="70" zoomScaleSheetLayoutView="47" workbookViewId="0">
      <pane xSplit="19" ySplit="9" topLeftCell="T19" activePane="bottomRight" state="frozen"/>
      <selection pane="topRight" activeCell="T1" sqref="T1"/>
      <selection pane="bottomLeft" activeCell="A10" sqref="A10"/>
      <selection pane="bottomRight" activeCell="V4" sqref="V1:V1048576"/>
    </sheetView>
  </sheetViews>
  <sheetFormatPr defaultRowHeight="19.5" x14ac:dyDescent="0.3"/>
  <cols>
    <col min="1" max="1" width="9.28515625" style="117" bestFit="1" customWidth="1"/>
    <col min="2" max="2" width="10.28515625" style="117" customWidth="1"/>
    <col min="3" max="3" width="12.85546875" style="117" customWidth="1"/>
    <col min="4" max="4" width="17.7109375" style="117" customWidth="1"/>
    <col min="5" max="5" width="29.85546875" style="117" customWidth="1"/>
    <col min="6" max="6" width="12" style="117" customWidth="1"/>
    <col min="7" max="7" width="16.42578125" style="117" customWidth="1"/>
    <col min="8" max="8" width="16.5703125" style="117" customWidth="1"/>
    <col min="9" max="9" width="18.85546875" style="117" customWidth="1"/>
    <col min="10" max="11" width="9" style="117" customWidth="1"/>
    <col min="12" max="12" width="18.7109375" style="117" customWidth="1"/>
    <col min="13" max="13" width="20.28515625" style="117" customWidth="1"/>
    <col min="14" max="14" width="11.140625" style="117" customWidth="1"/>
    <col min="15" max="15" width="14" style="117" customWidth="1"/>
    <col min="16" max="16" width="10.140625" style="117" bestFit="1" customWidth="1"/>
    <col min="17" max="17" width="10.140625" style="117" customWidth="1"/>
    <col min="18" max="18" width="12.7109375" style="117" bestFit="1" customWidth="1"/>
    <col min="19" max="19" width="10.140625" style="117" bestFit="1" customWidth="1"/>
    <col min="20" max="20" width="17.42578125" style="118" customWidth="1"/>
    <col min="21" max="21" width="14.7109375" style="118" customWidth="1"/>
    <col min="22" max="22" width="15.85546875" style="283" customWidth="1"/>
    <col min="23" max="23" width="11.7109375" style="117" customWidth="1"/>
    <col min="24" max="24" width="9.140625" style="117"/>
    <col min="25" max="27" width="9" style="117" bestFit="1" customWidth="1"/>
    <col min="28" max="28" width="16.85546875" style="117" customWidth="1"/>
    <col min="29" max="29" width="18" style="117" customWidth="1"/>
    <col min="30" max="30" width="12.85546875" style="117" customWidth="1"/>
    <col min="31" max="16384" width="9.140625" style="117"/>
  </cols>
  <sheetData>
    <row r="1" spans="1:30" s="232" customFormat="1" ht="27" customHeight="1" x14ac:dyDescent="0.25">
      <c r="A1" s="396" t="s">
        <v>47</v>
      </c>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row>
    <row r="2" spans="1:30" s="232" customFormat="1" ht="27" customHeight="1" x14ac:dyDescent="0.25">
      <c r="A2" s="396" t="s">
        <v>56</v>
      </c>
      <c r="B2" s="396"/>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row>
    <row r="3" spans="1:30" s="232" customFormat="1" ht="27" customHeight="1" x14ac:dyDescent="0.25">
      <c r="A3" s="397" t="s">
        <v>59</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row>
    <row r="4" spans="1:30" s="232" customFormat="1" ht="27" customHeight="1" x14ac:dyDescent="0.25">
      <c r="A4" s="189" t="s">
        <v>211</v>
      </c>
      <c r="B4" s="190"/>
      <c r="C4" s="190"/>
      <c r="D4" s="190"/>
      <c r="E4" s="190"/>
      <c r="F4" s="191"/>
      <c r="G4" s="191"/>
      <c r="H4" s="191"/>
      <c r="I4" s="191"/>
      <c r="J4" s="191"/>
      <c r="K4" s="191"/>
      <c r="L4" s="191"/>
      <c r="M4" s="191"/>
      <c r="N4" s="191"/>
      <c r="O4" s="191"/>
      <c r="P4" s="191"/>
      <c r="Q4" s="191"/>
      <c r="R4" s="191"/>
      <c r="S4" s="191"/>
      <c r="T4" s="192"/>
      <c r="U4" s="192"/>
      <c r="V4" s="273"/>
      <c r="W4" s="193"/>
      <c r="X4" s="194"/>
      <c r="Y4" s="413"/>
      <c r="Z4" s="413"/>
      <c r="AA4" s="195"/>
      <c r="AB4" s="397" t="s">
        <v>7</v>
      </c>
      <c r="AC4" s="397"/>
      <c r="AD4" s="397"/>
    </row>
    <row r="5" spans="1:30" s="84" customFormat="1" ht="30" customHeight="1" x14ac:dyDescent="0.25">
      <c r="A5" s="86"/>
      <c r="B5" s="86"/>
      <c r="C5" s="86"/>
      <c r="D5" s="86"/>
      <c r="E5" s="86"/>
      <c r="F5" s="87"/>
      <c r="G5" s="87"/>
      <c r="H5" s="87"/>
      <c r="I5" s="87"/>
      <c r="J5" s="400" t="s">
        <v>40</v>
      </c>
      <c r="K5" s="400"/>
      <c r="L5" s="400"/>
      <c r="M5" s="400"/>
      <c r="N5" s="400"/>
      <c r="O5" s="87"/>
      <c r="P5" s="400" t="s">
        <v>39</v>
      </c>
      <c r="Q5" s="400"/>
      <c r="R5" s="400"/>
      <c r="S5" s="400"/>
      <c r="T5" s="88"/>
      <c r="U5" s="88"/>
      <c r="V5" s="274"/>
      <c r="W5" s="92"/>
      <c r="X5" s="391" t="s">
        <v>45</v>
      </c>
      <c r="Y5" s="391"/>
      <c r="Z5" s="391"/>
      <c r="AA5" s="391"/>
      <c r="AB5" s="88"/>
      <c r="AC5" s="88"/>
    </row>
    <row r="6" spans="1:30" s="84" customFormat="1" ht="81" customHeight="1" x14ac:dyDescent="0.25">
      <c r="A6" s="398" t="s">
        <v>20</v>
      </c>
      <c r="B6" s="398" t="s">
        <v>5</v>
      </c>
      <c r="C6" s="398" t="s">
        <v>30</v>
      </c>
      <c r="D6" s="398" t="s">
        <v>23</v>
      </c>
      <c r="E6" s="415" t="s">
        <v>62</v>
      </c>
      <c r="F6" s="391" t="s">
        <v>16</v>
      </c>
      <c r="G6" s="391" t="s">
        <v>207</v>
      </c>
      <c r="H6" s="400" t="s">
        <v>313</v>
      </c>
      <c r="I6" s="391" t="s">
        <v>41</v>
      </c>
      <c r="J6" s="391" t="s">
        <v>8</v>
      </c>
      <c r="K6" s="391"/>
      <c r="L6" s="391" t="s">
        <v>9</v>
      </c>
      <c r="M6" s="391"/>
      <c r="N6" s="393" t="s">
        <v>12</v>
      </c>
      <c r="O6" s="391" t="s">
        <v>10</v>
      </c>
      <c r="P6" s="393" t="s">
        <v>38</v>
      </c>
      <c r="Q6" s="392" t="s">
        <v>11</v>
      </c>
      <c r="R6" s="392" t="s">
        <v>18</v>
      </c>
      <c r="S6" s="392" t="s">
        <v>15</v>
      </c>
      <c r="T6" s="391" t="s">
        <v>49</v>
      </c>
      <c r="U6" s="400" t="s">
        <v>272</v>
      </c>
      <c r="V6" s="412" t="s">
        <v>19</v>
      </c>
      <c r="W6" s="414" t="s">
        <v>231</v>
      </c>
      <c r="X6" s="392" t="s">
        <v>312</v>
      </c>
      <c r="Y6" s="392" t="s">
        <v>3</v>
      </c>
      <c r="Z6" s="392" t="s">
        <v>311</v>
      </c>
      <c r="AA6" s="392" t="s">
        <v>310</v>
      </c>
      <c r="AB6" s="391" t="s">
        <v>42</v>
      </c>
      <c r="AC6" s="391" t="s">
        <v>43</v>
      </c>
      <c r="AD6" s="399" t="s">
        <v>46</v>
      </c>
    </row>
    <row r="7" spans="1:30" s="84" customFormat="1" ht="31.5" customHeight="1" x14ac:dyDescent="0.25">
      <c r="A7" s="398"/>
      <c r="B7" s="398"/>
      <c r="C7" s="398"/>
      <c r="D7" s="398"/>
      <c r="E7" s="416"/>
      <c r="F7" s="391"/>
      <c r="G7" s="391"/>
      <c r="H7" s="401"/>
      <c r="I7" s="391"/>
      <c r="J7" s="392" t="s">
        <v>13</v>
      </c>
      <c r="K7" s="392" t="s">
        <v>14</v>
      </c>
      <c r="L7" s="392" t="s">
        <v>13</v>
      </c>
      <c r="M7" s="392" t="s">
        <v>14</v>
      </c>
      <c r="N7" s="394"/>
      <c r="O7" s="391"/>
      <c r="P7" s="394"/>
      <c r="Q7" s="392"/>
      <c r="R7" s="392"/>
      <c r="S7" s="392"/>
      <c r="T7" s="391"/>
      <c r="U7" s="401"/>
      <c r="V7" s="412"/>
      <c r="W7" s="414"/>
      <c r="X7" s="392"/>
      <c r="Y7" s="392"/>
      <c r="Z7" s="392"/>
      <c r="AA7" s="392"/>
      <c r="AB7" s="391"/>
      <c r="AC7" s="391"/>
      <c r="AD7" s="399"/>
    </row>
    <row r="8" spans="1:30" s="84" customFormat="1" ht="57.75" customHeight="1" x14ac:dyDescent="0.25">
      <c r="A8" s="398"/>
      <c r="B8" s="398"/>
      <c r="C8" s="398"/>
      <c r="D8" s="398"/>
      <c r="E8" s="417"/>
      <c r="F8" s="391"/>
      <c r="G8" s="391"/>
      <c r="H8" s="402"/>
      <c r="I8" s="391"/>
      <c r="J8" s="392"/>
      <c r="K8" s="392"/>
      <c r="L8" s="392"/>
      <c r="M8" s="392"/>
      <c r="N8" s="395"/>
      <c r="O8" s="391"/>
      <c r="P8" s="395"/>
      <c r="Q8" s="392"/>
      <c r="R8" s="392"/>
      <c r="S8" s="392"/>
      <c r="T8" s="391"/>
      <c r="U8" s="402"/>
      <c r="V8" s="412"/>
      <c r="W8" s="414"/>
      <c r="X8" s="392"/>
      <c r="Y8" s="392"/>
      <c r="Z8" s="392"/>
      <c r="AA8" s="392"/>
      <c r="AB8" s="391"/>
      <c r="AC8" s="391"/>
      <c r="AD8" s="399"/>
    </row>
    <row r="9" spans="1:30" s="84" customFormat="1" ht="27" customHeight="1" x14ac:dyDescent="0.25">
      <c r="A9" s="93">
        <v>1</v>
      </c>
      <c r="B9" s="93">
        <v>2</v>
      </c>
      <c r="C9" s="93">
        <v>3</v>
      </c>
      <c r="D9" s="93">
        <v>4</v>
      </c>
      <c r="E9" s="93">
        <v>5</v>
      </c>
      <c r="F9" s="93">
        <v>6</v>
      </c>
      <c r="G9" s="93">
        <v>7</v>
      </c>
      <c r="H9" s="93">
        <v>8</v>
      </c>
      <c r="I9" s="93">
        <v>9</v>
      </c>
      <c r="J9" s="93">
        <v>10</v>
      </c>
      <c r="K9" s="93">
        <v>11</v>
      </c>
      <c r="L9" s="93">
        <v>12</v>
      </c>
      <c r="M9" s="93">
        <v>13</v>
      </c>
      <c r="N9" s="93">
        <v>14</v>
      </c>
      <c r="O9" s="93">
        <v>15</v>
      </c>
      <c r="P9" s="93">
        <v>16</v>
      </c>
      <c r="Q9" s="93">
        <v>17</v>
      </c>
      <c r="R9" s="93">
        <v>18</v>
      </c>
      <c r="S9" s="93">
        <v>19</v>
      </c>
      <c r="T9" s="93">
        <v>20</v>
      </c>
      <c r="U9" s="93">
        <v>21</v>
      </c>
      <c r="V9" s="275">
        <v>22</v>
      </c>
      <c r="W9" s="93">
        <v>23</v>
      </c>
      <c r="X9" s="93">
        <v>24</v>
      </c>
      <c r="Y9" s="93">
        <v>25</v>
      </c>
      <c r="Z9" s="93">
        <v>26</v>
      </c>
      <c r="AA9" s="93">
        <v>27</v>
      </c>
      <c r="AB9" s="93">
        <v>28</v>
      </c>
      <c r="AC9" s="93">
        <v>29</v>
      </c>
      <c r="AD9" s="93">
        <v>30</v>
      </c>
    </row>
    <row r="10" spans="1:30" s="112" customFormat="1" ht="39" customHeight="1" x14ac:dyDescent="0.25">
      <c r="A10" s="107" t="s">
        <v>63</v>
      </c>
      <c r="B10" s="203"/>
      <c r="C10" s="204"/>
      <c r="D10" s="204"/>
      <c r="E10" s="204"/>
      <c r="F10" s="204"/>
      <c r="G10" s="204"/>
      <c r="H10" s="204"/>
      <c r="I10" s="204"/>
      <c r="J10" s="204"/>
      <c r="K10" s="204"/>
      <c r="L10" s="204"/>
      <c r="M10" s="204"/>
      <c r="N10" s="204"/>
      <c r="O10" s="204"/>
      <c r="P10" s="204"/>
      <c r="Q10" s="204"/>
      <c r="R10" s="204"/>
      <c r="S10" s="204"/>
      <c r="T10" s="205"/>
      <c r="U10" s="206"/>
      <c r="V10" s="276"/>
      <c r="W10" s="111"/>
      <c r="X10" s="111"/>
      <c r="Y10" s="111"/>
      <c r="Z10" s="111"/>
      <c r="AA10" s="111"/>
      <c r="AB10" s="111"/>
      <c r="AC10" s="111"/>
      <c r="AD10" s="111"/>
    </row>
    <row r="11" spans="1:30" s="105" customFormat="1" ht="41.25" customHeight="1" x14ac:dyDescent="0.25">
      <c r="A11" s="93">
        <v>1</v>
      </c>
      <c r="B11" s="93" t="s">
        <v>175</v>
      </c>
      <c r="C11" s="94" t="s">
        <v>76</v>
      </c>
      <c r="D11" s="95" t="s">
        <v>77</v>
      </c>
      <c r="E11" s="106" t="s">
        <v>78</v>
      </c>
      <c r="F11" s="97" t="s">
        <v>79</v>
      </c>
      <c r="G11" s="97" t="s">
        <v>176</v>
      </c>
      <c r="H11" s="98" t="s">
        <v>81</v>
      </c>
      <c r="I11" s="97" t="s">
        <v>82</v>
      </c>
      <c r="J11" s="207" t="s">
        <v>177</v>
      </c>
      <c r="K11" s="207" t="s">
        <v>178</v>
      </c>
      <c r="L11" s="207" t="s">
        <v>179</v>
      </c>
      <c r="M11" s="208" t="s">
        <v>180</v>
      </c>
      <c r="N11" s="99" t="s">
        <v>84</v>
      </c>
      <c r="O11" s="209">
        <f>1594.42+143.61</f>
        <v>1738.0300000000002</v>
      </c>
      <c r="P11" s="209">
        <f>O11-R11</f>
        <v>420.76000000000022</v>
      </c>
      <c r="Q11" s="98" t="s">
        <v>83</v>
      </c>
      <c r="R11" s="210">
        <v>1317.27</v>
      </c>
      <c r="S11" s="99" t="s">
        <v>84</v>
      </c>
      <c r="T11" s="211">
        <f>649.74+0.305</f>
        <v>650.04499999999996</v>
      </c>
      <c r="U11" s="103">
        <f>ROUND(15803003.27/10^7,3)</f>
        <v>1.58</v>
      </c>
      <c r="V11" s="277">
        <f>ROUND(15803003.27/10^7,3)</f>
        <v>1.58</v>
      </c>
      <c r="W11" s="104" t="s">
        <v>181</v>
      </c>
      <c r="X11" s="99" t="s">
        <v>84</v>
      </c>
      <c r="Y11" s="99" t="s">
        <v>84</v>
      </c>
      <c r="Z11" s="99" t="s">
        <v>84</v>
      </c>
      <c r="AA11" s="99" t="s">
        <v>84</v>
      </c>
      <c r="AB11" s="93"/>
      <c r="AC11" s="104"/>
      <c r="AD11" s="94"/>
    </row>
    <row r="12" spans="1:30" s="105" customFormat="1" ht="41.25" customHeight="1" x14ac:dyDescent="0.25">
      <c r="A12" s="93">
        <v>2</v>
      </c>
      <c r="B12" s="93" t="s">
        <v>175</v>
      </c>
      <c r="C12" s="94" t="s">
        <v>100</v>
      </c>
      <c r="D12" s="95" t="s">
        <v>101</v>
      </c>
      <c r="E12" s="106" t="s">
        <v>329</v>
      </c>
      <c r="F12" s="97" t="s">
        <v>79</v>
      </c>
      <c r="G12" s="97" t="s">
        <v>182</v>
      </c>
      <c r="H12" s="98" t="s">
        <v>104</v>
      </c>
      <c r="I12" s="97" t="s">
        <v>183</v>
      </c>
      <c r="J12" s="97" t="s">
        <v>184</v>
      </c>
      <c r="K12" s="97" t="s">
        <v>185</v>
      </c>
      <c r="L12" s="207" t="s">
        <v>186</v>
      </c>
      <c r="M12" s="207" t="s">
        <v>187</v>
      </c>
      <c r="N12" s="99" t="s">
        <v>84</v>
      </c>
      <c r="O12" s="209">
        <f>1279.05-100.08</f>
        <v>1178.97</v>
      </c>
      <c r="P12" s="209">
        <f>O12-R12</f>
        <v>177.32000000000005</v>
      </c>
      <c r="Q12" s="97" t="s">
        <v>92</v>
      </c>
      <c r="R12" s="212">
        <v>1001.65</v>
      </c>
      <c r="S12" s="99" t="s">
        <v>84</v>
      </c>
      <c r="T12" s="211">
        <f>927.17+1.142</f>
        <v>928.31200000000001</v>
      </c>
      <c r="U12" s="103">
        <f>ROUND(104332864.02/10^7,3)</f>
        <v>10.433</v>
      </c>
      <c r="V12" s="277">
        <f>ROUND(104332864.02/10^7,3)</f>
        <v>10.433</v>
      </c>
      <c r="W12" s="104" t="s">
        <v>181</v>
      </c>
      <c r="X12" s="99" t="s">
        <v>84</v>
      </c>
      <c r="Y12" s="99" t="s">
        <v>84</v>
      </c>
      <c r="Z12" s="99" t="s">
        <v>84</v>
      </c>
      <c r="AA12" s="99" t="s">
        <v>84</v>
      </c>
      <c r="AB12" s="93" t="s">
        <v>317</v>
      </c>
      <c r="AC12" s="104" t="s">
        <v>318</v>
      </c>
      <c r="AD12" s="94"/>
    </row>
    <row r="13" spans="1:30" s="105" customFormat="1" ht="41.25" customHeight="1" x14ac:dyDescent="0.25">
      <c r="A13" s="93">
        <v>3</v>
      </c>
      <c r="B13" s="93" t="s">
        <v>175</v>
      </c>
      <c r="C13" s="94" t="s">
        <v>116</v>
      </c>
      <c r="D13" s="95" t="s">
        <v>117</v>
      </c>
      <c r="E13" s="213" t="s">
        <v>330</v>
      </c>
      <c r="F13" s="97" t="s">
        <v>79</v>
      </c>
      <c r="G13" s="97" t="s">
        <v>188</v>
      </c>
      <c r="H13" s="98" t="s">
        <v>120</v>
      </c>
      <c r="I13" s="97" t="s">
        <v>121</v>
      </c>
      <c r="J13" s="214" t="s">
        <v>189</v>
      </c>
      <c r="K13" s="214" t="s">
        <v>122</v>
      </c>
      <c r="L13" s="207" t="s">
        <v>190</v>
      </c>
      <c r="M13" s="207" t="s">
        <v>123</v>
      </c>
      <c r="N13" s="99" t="s">
        <v>84</v>
      </c>
      <c r="O13" s="209">
        <f>1669+117.4</f>
        <v>1786.4</v>
      </c>
      <c r="P13" s="209">
        <f>O13-R13</f>
        <v>8.1400000000001</v>
      </c>
      <c r="Q13" s="97" t="s">
        <v>92</v>
      </c>
      <c r="R13" s="212">
        <v>1778.26</v>
      </c>
      <c r="S13" s="99" t="s">
        <v>84</v>
      </c>
      <c r="T13" s="211">
        <f>1567.52+151.467</f>
        <v>1718.9870000000001</v>
      </c>
      <c r="U13" s="103">
        <f>ROUND(127407021.54/10^7,3)</f>
        <v>12.741</v>
      </c>
      <c r="V13" s="277">
        <f>ROUND(127407021.54/10^7,3)</f>
        <v>12.741</v>
      </c>
      <c r="W13" s="104" t="s">
        <v>181</v>
      </c>
      <c r="X13" s="99" t="s">
        <v>84</v>
      </c>
      <c r="Y13" s="99" t="s">
        <v>84</v>
      </c>
      <c r="Z13" s="99" t="s">
        <v>84</v>
      </c>
      <c r="AA13" s="99" t="s">
        <v>84</v>
      </c>
      <c r="AB13" s="93" t="s">
        <v>319</v>
      </c>
      <c r="AC13" s="104" t="s">
        <v>320</v>
      </c>
      <c r="AD13" s="94"/>
    </row>
    <row r="14" spans="1:30" s="105" customFormat="1" ht="41.25" customHeight="1" x14ac:dyDescent="0.25">
      <c r="A14" s="93">
        <v>4</v>
      </c>
      <c r="B14" s="93" t="s">
        <v>175</v>
      </c>
      <c r="C14" s="94" t="s">
        <v>131</v>
      </c>
      <c r="D14" s="95" t="s">
        <v>132</v>
      </c>
      <c r="E14" s="106" t="s">
        <v>133</v>
      </c>
      <c r="F14" s="97" t="s">
        <v>79</v>
      </c>
      <c r="G14" s="97" t="s">
        <v>134</v>
      </c>
      <c r="H14" s="98" t="s">
        <v>202</v>
      </c>
      <c r="I14" s="97" t="s">
        <v>135</v>
      </c>
      <c r="J14" s="207" t="s">
        <v>130</v>
      </c>
      <c r="K14" s="207" t="s">
        <v>130</v>
      </c>
      <c r="L14" s="207" t="s">
        <v>277</v>
      </c>
      <c r="M14" s="207" t="s">
        <v>271</v>
      </c>
      <c r="N14" s="99" t="s">
        <v>84</v>
      </c>
      <c r="O14" s="209">
        <f>228.87+20.92</f>
        <v>249.79000000000002</v>
      </c>
      <c r="P14" s="209">
        <f>O14-S14</f>
        <v>91.070000000000022</v>
      </c>
      <c r="Q14" s="98" t="s">
        <v>136</v>
      </c>
      <c r="R14" s="215">
        <v>0</v>
      </c>
      <c r="S14" s="216">
        <v>158.72</v>
      </c>
      <c r="T14" s="197">
        <f>3.629</f>
        <v>3.629</v>
      </c>
      <c r="U14" s="103">
        <f>ROUND(844980070.06/10^7,3)</f>
        <v>84.498000000000005</v>
      </c>
      <c r="V14" s="277">
        <f>ROUND(448596065.6/10^7,3)</f>
        <v>44.86</v>
      </c>
      <c r="W14" s="104" t="s">
        <v>181</v>
      </c>
      <c r="X14" s="104">
        <v>0</v>
      </c>
      <c r="Y14" s="99">
        <v>0</v>
      </c>
      <c r="Z14" s="99">
        <v>0</v>
      </c>
      <c r="AA14" s="99">
        <f>4</f>
        <v>4</v>
      </c>
      <c r="AB14" s="93" t="s">
        <v>321</v>
      </c>
      <c r="AC14" s="104" t="s">
        <v>322</v>
      </c>
      <c r="AD14" s="94"/>
    </row>
    <row r="15" spans="1:30" s="105" customFormat="1" ht="41.25" customHeight="1" x14ac:dyDescent="0.25">
      <c r="A15" s="93">
        <v>5</v>
      </c>
      <c r="B15" s="93" t="s">
        <v>175</v>
      </c>
      <c r="C15" s="94" t="s">
        <v>142</v>
      </c>
      <c r="D15" s="217" t="s">
        <v>143</v>
      </c>
      <c r="E15" s="96" t="s">
        <v>199</v>
      </c>
      <c r="F15" s="218" t="s">
        <v>111</v>
      </c>
      <c r="G15" s="218" t="s">
        <v>144</v>
      </c>
      <c r="H15" s="98" t="s">
        <v>145</v>
      </c>
      <c r="I15" s="97" t="s">
        <v>146</v>
      </c>
      <c r="J15" s="219" t="s">
        <v>130</v>
      </c>
      <c r="K15" s="219" t="s">
        <v>140</v>
      </c>
      <c r="L15" s="207" t="s">
        <v>278</v>
      </c>
      <c r="M15" s="207" t="s">
        <v>271</v>
      </c>
      <c r="N15" s="99" t="s">
        <v>84</v>
      </c>
      <c r="O15" s="220">
        <v>2354.35</v>
      </c>
      <c r="P15" s="221">
        <f>O15-(1102.26+1110.65)</f>
        <v>141.44000000000005</v>
      </c>
      <c r="Q15" s="218" t="s">
        <v>147</v>
      </c>
      <c r="R15" s="222" t="s">
        <v>191</v>
      </c>
      <c r="S15" s="99" t="s">
        <v>84</v>
      </c>
      <c r="T15" s="211">
        <f>385.24</f>
        <v>385.24</v>
      </c>
      <c r="U15" s="103">
        <f>ROUND(1802507005.54/10^7,3)</f>
        <v>180.251</v>
      </c>
      <c r="V15" s="277">
        <f>ROUND(579870083.81/10^7,3)</f>
        <v>57.987000000000002</v>
      </c>
      <c r="W15" s="104" t="s">
        <v>181</v>
      </c>
      <c r="X15" s="104">
        <v>0</v>
      </c>
      <c r="Y15" s="99">
        <f>0</f>
        <v>0</v>
      </c>
      <c r="Z15" s="99">
        <f>500+160*2</f>
        <v>820</v>
      </c>
      <c r="AA15" s="99">
        <f>2+3+6</f>
        <v>11</v>
      </c>
      <c r="AB15" s="93" t="s">
        <v>323</v>
      </c>
      <c r="AC15" s="104" t="s">
        <v>324</v>
      </c>
      <c r="AD15" s="94"/>
    </row>
    <row r="16" spans="1:30" s="105" customFormat="1" ht="41.25" customHeight="1" x14ac:dyDescent="0.25">
      <c r="A16" s="93">
        <v>6</v>
      </c>
      <c r="B16" s="93" t="s">
        <v>175</v>
      </c>
      <c r="C16" s="94" t="s">
        <v>149</v>
      </c>
      <c r="D16" s="95" t="s">
        <v>150</v>
      </c>
      <c r="E16" s="106" t="s">
        <v>151</v>
      </c>
      <c r="F16" s="97" t="s">
        <v>79</v>
      </c>
      <c r="G16" s="97" t="s">
        <v>270</v>
      </c>
      <c r="H16" s="98" t="s">
        <v>276</v>
      </c>
      <c r="I16" s="97" t="s">
        <v>154</v>
      </c>
      <c r="J16" s="207" t="s">
        <v>156</v>
      </c>
      <c r="K16" s="223" t="s">
        <v>279</v>
      </c>
      <c r="L16" s="207" t="s">
        <v>157</v>
      </c>
      <c r="M16" s="207" t="s">
        <v>271</v>
      </c>
      <c r="N16" s="99" t="s">
        <v>84</v>
      </c>
      <c r="O16" s="220">
        <f>175.48+12</f>
        <v>187.48</v>
      </c>
      <c r="P16" s="209">
        <f>O16-R16</f>
        <v>19.179999999999978</v>
      </c>
      <c r="Q16" s="98" t="s">
        <v>155</v>
      </c>
      <c r="R16" s="100">
        <v>168.3</v>
      </c>
      <c r="S16" s="99" t="s">
        <v>84</v>
      </c>
      <c r="T16" s="224">
        <v>0</v>
      </c>
      <c r="U16" s="103">
        <f>ROUND(535238934.19/10^7,3)</f>
        <v>53.524000000000001</v>
      </c>
      <c r="V16" s="277">
        <f>ROUND(1254413739/10^7,3)</f>
        <v>125.441</v>
      </c>
      <c r="W16" s="104" t="s">
        <v>181</v>
      </c>
      <c r="X16" s="104">
        <v>0</v>
      </c>
      <c r="Y16" s="99">
        <v>0</v>
      </c>
      <c r="Z16" s="99">
        <f>500*3-315</f>
        <v>1185</v>
      </c>
      <c r="AA16" s="99">
        <f>2+2</f>
        <v>4</v>
      </c>
      <c r="AB16" s="93" t="s">
        <v>327</v>
      </c>
      <c r="AC16" s="104" t="s">
        <v>328</v>
      </c>
      <c r="AD16" s="94"/>
    </row>
    <row r="17" spans="1:30" s="105" customFormat="1" ht="41.25" customHeight="1" x14ac:dyDescent="0.25">
      <c r="A17" s="93">
        <v>7</v>
      </c>
      <c r="B17" s="93" t="s">
        <v>175</v>
      </c>
      <c r="C17" s="94" t="s">
        <v>138</v>
      </c>
      <c r="D17" s="95" t="s">
        <v>139</v>
      </c>
      <c r="E17" s="106" t="s">
        <v>139</v>
      </c>
      <c r="F17" s="97" t="s">
        <v>79</v>
      </c>
      <c r="G17" s="97" t="s">
        <v>84</v>
      </c>
      <c r="H17" s="98" t="s">
        <v>84</v>
      </c>
      <c r="I17" s="97" t="s">
        <v>84</v>
      </c>
      <c r="J17" s="207" t="s">
        <v>84</v>
      </c>
      <c r="K17" s="225" t="s">
        <v>140</v>
      </c>
      <c r="L17" s="223" t="s">
        <v>84</v>
      </c>
      <c r="M17" s="225" t="s">
        <v>141</v>
      </c>
      <c r="N17" s="99" t="s">
        <v>84</v>
      </c>
      <c r="O17" s="220" t="s">
        <v>84</v>
      </c>
      <c r="P17" s="209" t="s">
        <v>84</v>
      </c>
      <c r="Q17" s="98" t="s">
        <v>84</v>
      </c>
      <c r="R17" s="221" t="s">
        <v>84</v>
      </c>
      <c r="S17" s="99" t="s">
        <v>84</v>
      </c>
      <c r="T17" s="197">
        <v>0.80500000000000005</v>
      </c>
      <c r="U17" s="103">
        <f t="shared" ref="U17:V17" si="0">ROUND(483155.25/10^7,3)</f>
        <v>4.8000000000000001E-2</v>
      </c>
      <c r="V17" s="277">
        <f t="shared" si="0"/>
        <v>4.8000000000000001E-2</v>
      </c>
      <c r="W17" s="104" t="s">
        <v>181</v>
      </c>
      <c r="X17" s="221" t="s">
        <v>84</v>
      </c>
      <c r="Y17" s="221" t="s">
        <v>84</v>
      </c>
      <c r="Z17" s="221" t="s">
        <v>84</v>
      </c>
      <c r="AA17" s="221" t="s">
        <v>84</v>
      </c>
      <c r="AB17" s="93" t="s">
        <v>325</v>
      </c>
      <c r="AC17" s="93" t="s">
        <v>326</v>
      </c>
      <c r="AD17" s="94"/>
    </row>
    <row r="18" spans="1:30" s="105" customFormat="1" ht="41.25" customHeight="1" x14ac:dyDescent="0.25">
      <c r="A18" s="93">
        <v>8</v>
      </c>
      <c r="B18" s="93" t="s">
        <v>175</v>
      </c>
      <c r="C18" s="94" t="s">
        <v>158</v>
      </c>
      <c r="D18" s="95" t="s">
        <v>159</v>
      </c>
      <c r="E18" s="96" t="s">
        <v>160</v>
      </c>
      <c r="F18" s="97" t="s">
        <v>79</v>
      </c>
      <c r="G18" s="97" t="s">
        <v>84</v>
      </c>
      <c r="H18" s="98" t="s">
        <v>84</v>
      </c>
      <c r="I18" s="97" t="s">
        <v>84</v>
      </c>
      <c r="J18" s="207" t="s">
        <v>84</v>
      </c>
      <c r="K18" s="207"/>
      <c r="L18" s="207" t="s">
        <v>84</v>
      </c>
      <c r="M18" s="207"/>
      <c r="N18" s="99" t="s">
        <v>84</v>
      </c>
      <c r="O18" s="220" t="s">
        <v>84</v>
      </c>
      <c r="P18" s="209" t="s">
        <v>84</v>
      </c>
      <c r="Q18" s="98" t="s">
        <v>84</v>
      </c>
      <c r="R18" s="221" t="s">
        <v>84</v>
      </c>
      <c r="S18" s="99" t="s">
        <v>84</v>
      </c>
      <c r="T18" s="224">
        <v>0</v>
      </c>
      <c r="U18" s="103">
        <f>ROUND(607222.1/10^7,3)</f>
        <v>6.0999999999999999E-2</v>
      </c>
      <c r="V18" s="277">
        <f>U18</f>
        <v>6.0999999999999999E-2</v>
      </c>
      <c r="W18" s="104" t="s">
        <v>181</v>
      </c>
      <c r="X18" s="221" t="s">
        <v>84</v>
      </c>
      <c r="Y18" s="221" t="s">
        <v>84</v>
      </c>
      <c r="Z18" s="221" t="s">
        <v>84</v>
      </c>
      <c r="AA18" s="221" t="s">
        <v>84</v>
      </c>
      <c r="AB18" s="93"/>
      <c r="AC18" s="104"/>
      <c r="AD18" s="94"/>
    </row>
    <row r="19" spans="1:30" s="105" customFormat="1" ht="41.25" customHeight="1" x14ac:dyDescent="0.25">
      <c r="A19" s="403" t="s">
        <v>198</v>
      </c>
      <c r="B19" s="404"/>
      <c r="C19" s="405"/>
      <c r="D19" s="95"/>
      <c r="E19" s="106"/>
      <c r="F19" s="97"/>
      <c r="G19" s="97"/>
      <c r="H19" s="97"/>
      <c r="I19" s="97"/>
      <c r="J19" s="207"/>
      <c r="K19" s="207"/>
      <c r="L19" s="207"/>
      <c r="M19" s="207"/>
      <c r="N19" s="99"/>
      <c r="O19" s="220"/>
      <c r="P19" s="209"/>
      <c r="Q19" s="98"/>
      <c r="R19" s="221"/>
      <c r="S19" s="101"/>
      <c r="T19" s="197">
        <f t="shared" ref="T19:U19" si="1">SUM(T11:T18)</f>
        <v>3687.0179999999996</v>
      </c>
      <c r="U19" s="197">
        <f t="shared" si="1"/>
        <v>343.13600000000002</v>
      </c>
      <c r="V19" s="278">
        <f>SUM(V11:V18)</f>
        <v>253.15100000000001</v>
      </c>
      <c r="W19" s="104"/>
      <c r="X19" s="226">
        <f>SUM(X14:X18)</f>
        <v>0</v>
      </c>
      <c r="Y19" s="227">
        <f>SUM(Y11:Y18)</f>
        <v>0</v>
      </c>
      <c r="Z19" s="228">
        <f>SUM(Z14:Z18)</f>
        <v>2005</v>
      </c>
      <c r="AA19" s="228">
        <f>SUM(AA14:AA18)</f>
        <v>19</v>
      </c>
      <c r="AB19" s="93"/>
      <c r="AC19" s="104"/>
      <c r="AD19" s="94"/>
    </row>
    <row r="20" spans="1:30" s="112" customFormat="1" ht="41.25" customHeight="1" x14ac:dyDescent="0.25">
      <c r="A20" s="107" t="s">
        <v>229</v>
      </c>
      <c r="B20" s="108"/>
      <c r="C20" s="108"/>
      <c r="D20" s="108"/>
      <c r="E20" s="108"/>
      <c r="F20" s="243"/>
      <c r="G20" s="243"/>
      <c r="H20" s="243"/>
      <c r="I20" s="243"/>
      <c r="J20" s="243"/>
      <c r="K20" s="243"/>
      <c r="L20" s="243"/>
      <c r="M20" s="243"/>
      <c r="N20" s="243"/>
      <c r="O20" s="243"/>
      <c r="P20" s="243"/>
      <c r="Q20" s="243"/>
      <c r="R20" s="243"/>
      <c r="S20" s="243"/>
      <c r="T20" s="243"/>
      <c r="U20" s="243"/>
      <c r="V20" s="276"/>
      <c r="W20" s="111"/>
      <c r="X20" s="111"/>
      <c r="Y20" s="111"/>
      <c r="Z20" s="111"/>
      <c r="AA20" s="111"/>
      <c r="AB20" s="111"/>
      <c r="AC20" s="111"/>
      <c r="AD20" s="111"/>
    </row>
    <row r="21" spans="1:30" s="112" customFormat="1" ht="41.25" customHeight="1" x14ac:dyDescent="0.25">
      <c r="A21" s="406" t="s">
        <v>65</v>
      </c>
      <c r="B21" s="407"/>
      <c r="C21" s="408"/>
      <c r="D21" s="110"/>
      <c r="E21" s="110"/>
      <c r="F21" s="110"/>
      <c r="G21" s="110"/>
      <c r="H21" s="110"/>
      <c r="I21" s="110"/>
      <c r="J21" s="110"/>
      <c r="K21" s="110"/>
      <c r="L21" s="110"/>
      <c r="M21" s="110"/>
      <c r="N21" s="110"/>
      <c r="O21" s="110"/>
      <c r="P21" s="110"/>
      <c r="Q21" s="110"/>
      <c r="R21" s="110"/>
      <c r="S21" s="110"/>
      <c r="T21" s="110"/>
      <c r="U21" s="110"/>
      <c r="V21" s="276"/>
      <c r="W21" s="111"/>
      <c r="X21" s="111"/>
      <c r="Y21" s="111"/>
      <c r="Z21" s="111"/>
      <c r="AA21" s="111"/>
      <c r="AB21" s="111"/>
      <c r="AC21" s="111"/>
      <c r="AD21" s="111"/>
    </row>
    <row r="22" spans="1:30" s="112" customFormat="1" ht="41.25" customHeight="1" x14ac:dyDescent="0.25">
      <c r="A22" s="107" t="s">
        <v>66</v>
      </c>
      <c r="B22" s="108"/>
      <c r="C22" s="108"/>
      <c r="D22" s="108"/>
      <c r="E22" s="108"/>
      <c r="F22" s="243"/>
      <c r="G22" s="243"/>
      <c r="H22" s="243"/>
      <c r="I22" s="243"/>
      <c r="J22" s="243"/>
      <c r="K22" s="243"/>
      <c r="L22" s="243"/>
      <c r="M22" s="243"/>
      <c r="N22" s="243"/>
      <c r="O22" s="243"/>
      <c r="P22" s="243"/>
      <c r="Q22" s="243"/>
      <c r="R22" s="243"/>
      <c r="S22" s="243"/>
      <c r="T22" s="243"/>
      <c r="U22" s="243"/>
      <c r="V22" s="276"/>
      <c r="W22" s="111"/>
      <c r="X22" s="111"/>
      <c r="Y22" s="111"/>
      <c r="Z22" s="111"/>
      <c r="AA22" s="111"/>
      <c r="AB22" s="111"/>
      <c r="AC22" s="111"/>
      <c r="AD22" s="111"/>
    </row>
    <row r="23" spans="1:30" s="105" customFormat="1" ht="41.25" customHeight="1" x14ac:dyDescent="0.25">
      <c r="A23" s="93">
        <v>1</v>
      </c>
      <c r="B23" s="93" t="s">
        <v>175</v>
      </c>
      <c r="C23" s="94" t="s">
        <v>161</v>
      </c>
      <c r="D23" s="95" t="s">
        <v>162</v>
      </c>
      <c r="E23" s="106" t="s">
        <v>162</v>
      </c>
      <c r="F23" s="97" t="s">
        <v>79</v>
      </c>
      <c r="G23" s="97" t="s">
        <v>84</v>
      </c>
      <c r="H23" s="98" t="s">
        <v>84</v>
      </c>
      <c r="I23" s="97" t="s">
        <v>84</v>
      </c>
      <c r="J23" s="207" t="s">
        <v>84</v>
      </c>
      <c r="K23" s="207" t="s">
        <v>163</v>
      </c>
      <c r="L23" s="207" t="s">
        <v>84</v>
      </c>
      <c r="M23" s="207" t="s">
        <v>164</v>
      </c>
      <c r="N23" s="99" t="s">
        <v>84</v>
      </c>
      <c r="O23" s="409" t="s">
        <v>273</v>
      </c>
      <c r="P23" s="410"/>
      <c r="Q23" s="410"/>
      <c r="R23" s="411"/>
      <c r="S23" s="224" t="s">
        <v>84</v>
      </c>
      <c r="T23" s="229">
        <f>16.58</f>
        <v>16.579999999999998</v>
      </c>
      <c r="U23" s="103">
        <f>'CapEx-23-24'!R27</f>
        <v>-1.6999999999999999E-3</v>
      </c>
      <c r="V23" s="277">
        <f>ROUND(-17242.51/10^7,3)</f>
        <v>-2E-3</v>
      </c>
      <c r="W23" s="104" t="s">
        <v>181</v>
      </c>
      <c r="X23" s="221" t="s">
        <v>84</v>
      </c>
      <c r="Y23" s="221" t="s">
        <v>84</v>
      </c>
      <c r="Z23" s="221" t="s">
        <v>84</v>
      </c>
      <c r="AA23" s="221" t="s">
        <v>84</v>
      </c>
      <c r="AB23" s="93"/>
      <c r="AC23" s="104"/>
      <c r="AD23" s="94"/>
    </row>
    <row r="24" spans="1:30" s="105" customFormat="1" ht="41.25" customHeight="1" x14ac:dyDescent="0.25">
      <c r="A24" s="93">
        <v>2</v>
      </c>
      <c r="B24" s="93" t="s">
        <v>175</v>
      </c>
      <c r="C24" s="94" t="s">
        <v>165</v>
      </c>
      <c r="D24" s="95" t="s">
        <v>166</v>
      </c>
      <c r="E24" s="106" t="s">
        <v>166</v>
      </c>
      <c r="F24" s="97" t="s">
        <v>168</v>
      </c>
      <c r="G24" s="97" t="s">
        <v>84</v>
      </c>
      <c r="H24" s="98" t="s">
        <v>84</v>
      </c>
      <c r="I24" s="97" t="s">
        <v>84</v>
      </c>
      <c r="J24" s="207" t="s">
        <v>84</v>
      </c>
      <c r="K24" s="207" t="s">
        <v>203</v>
      </c>
      <c r="L24" s="207" t="s">
        <v>84</v>
      </c>
      <c r="M24" s="207" t="s">
        <v>204</v>
      </c>
      <c r="N24" s="104" t="s">
        <v>306</v>
      </c>
      <c r="O24" s="409" t="s">
        <v>273</v>
      </c>
      <c r="P24" s="410"/>
      <c r="Q24" s="410"/>
      <c r="R24" s="411"/>
      <c r="S24" s="224" t="s">
        <v>84</v>
      </c>
      <c r="T24" s="229">
        <f>21.88+0.039</f>
        <v>21.919</v>
      </c>
      <c r="U24" s="103">
        <f>'CapEx-23-24'!R28</f>
        <v>0.43390000000000001</v>
      </c>
      <c r="V24" s="277">
        <f>ROUND(4338523.72/10^7,3)</f>
        <v>0.434</v>
      </c>
      <c r="W24" s="104" t="s">
        <v>181</v>
      </c>
      <c r="X24" s="221" t="s">
        <v>84</v>
      </c>
      <c r="Y24" s="221" t="s">
        <v>84</v>
      </c>
      <c r="Z24" s="221" t="s">
        <v>84</v>
      </c>
      <c r="AA24" s="221" t="s">
        <v>84</v>
      </c>
      <c r="AB24" s="93" t="s">
        <v>304</v>
      </c>
      <c r="AC24" s="93" t="s">
        <v>305</v>
      </c>
      <c r="AD24" s="94"/>
    </row>
    <row r="25" spans="1:30" s="112" customFormat="1" ht="41.25" customHeight="1" x14ac:dyDescent="0.25">
      <c r="A25" s="403" t="s">
        <v>67</v>
      </c>
      <c r="B25" s="404"/>
      <c r="C25" s="405"/>
      <c r="D25" s="110"/>
      <c r="E25" s="110"/>
      <c r="F25" s="110"/>
      <c r="G25" s="110"/>
      <c r="H25" s="110"/>
      <c r="I25" s="110"/>
      <c r="J25" s="110"/>
      <c r="K25" s="110"/>
      <c r="L25" s="110"/>
      <c r="M25" s="110"/>
      <c r="N25" s="110"/>
      <c r="O25" s="409"/>
      <c r="P25" s="410"/>
      <c r="Q25" s="410"/>
      <c r="R25" s="411"/>
      <c r="S25" s="110"/>
      <c r="T25" s="244">
        <f t="shared" ref="T25:U25" si="2">SUM(T23:T24)</f>
        <v>38.498999999999995</v>
      </c>
      <c r="U25" s="244">
        <f t="shared" si="2"/>
        <v>0.43220000000000003</v>
      </c>
      <c r="V25" s="279">
        <f>SUM(V23:V24)</f>
        <v>0.432</v>
      </c>
      <c r="W25" s="111"/>
      <c r="X25" s="111"/>
      <c r="Y25" s="111"/>
      <c r="Z25" s="111"/>
      <c r="AA25" s="111"/>
      <c r="AB25" s="111"/>
      <c r="AC25" s="111"/>
      <c r="AD25" s="111"/>
    </row>
    <row r="26" spans="1:30" s="112" customFormat="1" ht="41.25" customHeight="1" x14ac:dyDescent="0.25">
      <c r="A26" s="403" t="s">
        <v>68</v>
      </c>
      <c r="B26" s="404"/>
      <c r="C26" s="405"/>
      <c r="D26" s="110"/>
      <c r="E26" s="110"/>
      <c r="F26" s="110"/>
      <c r="G26" s="110"/>
      <c r="H26" s="110"/>
      <c r="I26" s="110"/>
      <c r="J26" s="110"/>
      <c r="K26" s="110"/>
      <c r="L26" s="110"/>
      <c r="M26" s="110"/>
      <c r="N26" s="110"/>
      <c r="O26" s="409"/>
      <c r="P26" s="410"/>
      <c r="Q26" s="410"/>
      <c r="R26" s="411"/>
      <c r="S26" s="110"/>
      <c r="T26" s="244">
        <f t="shared" ref="T26:U26" si="3">T19+T21+T25</f>
        <v>3725.5169999999994</v>
      </c>
      <c r="U26" s="244">
        <f t="shared" si="3"/>
        <v>343.56820000000005</v>
      </c>
      <c r="V26" s="279">
        <f>V19+V21+V25</f>
        <v>253.583</v>
      </c>
      <c r="W26" s="230"/>
      <c r="X26" s="231">
        <f>X19+X21+X25</f>
        <v>0</v>
      </c>
      <c r="Y26" s="231">
        <f>Y19+Y21+Y25</f>
        <v>0</v>
      </c>
      <c r="Z26" s="228">
        <f>Z19+Z21+Z25</f>
        <v>2005</v>
      </c>
      <c r="AA26" s="228">
        <f>AA19+AA21+AA25</f>
        <v>19</v>
      </c>
      <c r="AB26" s="111"/>
      <c r="AC26" s="111"/>
      <c r="AD26" s="111"/>
    </row>
    <row r="27" spans="1:30" s="112" customFormat="1" ht="41.25" customHeight="1" x14ac:dyDescent="0.25">
      <c r="A27" s="113"/>
      <c r="B27" s="113"/>
      <c r="C27" s="113"/>
      <c r="D27" s="114"/>
      <c r="E27" s="114"/>
      <c r="F27" s="114"/>
      <c r="G27" s="114"/>
      <c r="H27" s="114"/>
      <c r="I27" s="114"/>
      <c r="J27" s="114"/>
      <c r="K27" s="114"/>
      <c r="L27" s="114"/>
      <c r="M27" s="114"/>
      <c r="N27" s="114"/>
      <c r="O27" s="114"/>
      <c r="P27" s="114"/>
      <c r="Q27" s="114"/>
      <c r="R27" s="114"/>
      <c r="S27" s="114"/>
      <c r="T27" s="114"/>
      <c r="U27" s="114"/>
      <c r="V27" s="280"/>
      <c r="W27" s="115"/>
      <c r="X27" s="115"/>
      <c r="Y27" s="115"/>
      <c r="Z27" s="115"/>
      <c r="AA27" s="115"/>
      <c r="AB27" s="115"/>
      <c r="AC27" s="115"/>
      <c r="AD27" s="115"/>
    </row>
    <row r="28" spans="1:30" s="84" customFormat="1" ht="33.75" customHeight="1" x14ac:dyDescent="0.25">
      <c r="T28" s="116"/>
      <c r="U28" s="116"/>
      <c r="V28" s="281" t="s">
        <v>210</v>
      </c>
    </row>
    <row r="29" spans="1:30" s="84" customFormat="1" ht="24" customHeight="1" x14ac:dyDescent="0.25">
      <c r="A29" s="112" t="s">
        <v>44</v>
      </c>
      <c r="T29" s="116"/>
      <c r="U29" s="116"/>
      <c r="V29" s="282"/>
    </row>
    <row r="30" spans="1:30" s="84" customFormat="1" x14ac:dyDescent="0.25">
      <c r="T30" s="116"/>
      <c r="U30" s="116"/>
      <c r="V30" s="282"/>
    </row>
    <row r="31" spans="1:30" s="84" customFormat="1" x14ac:dyDescent="0.25">
      <c r="A31" s="84" t="s">
        <v>55</v>
      </c>
      <c r="T31" s="116"/>
      <c r="U31" s="116"/>
      <c r="V31" s="282"/>
    </row>
    <row r="32" spans="1:30" s="84" customFormat="1" x14ac:dyDescent="0.25">
      <c r="T32" s="116"/>
      <c r="U32" s="116"/>
      <c r="V32" s="282"/>
    </row>
    <row r="33" spans="20:22" s="84" customFormat="1" x14ac:dyDescent="0.25">
      <c r="T33" s="116"/>
      <c r="U33" s="116"/>
      <c r="V33" s="282"/>
    </row>
  </sheetData>
  <mergeCells count="48">
    <mergeCell ref="A2:AD2"/>
    <mergeCell ref="V6:V8"/>
    <mergeCell ref="J6:K6"/>
    <mergeCell ref="L6:M6"/>
    <mergeCell ref="Y4:Z4"/>
    <mergeCell ref="AB6:AB8"/>
    <mergeCell ref="AC6:AC8"/>
    <mergeCell ref="W6:W8"/>
    <mergeCell ref="Y6:Y8"/>
    <mergeCell ref="Z6:Z8"/>
    <mergeCell ref="P5:S5"/>
    <mergeCell ref="J5:N5"/>
    <mergeCell ref="A6:A8"/>
    <mergeCell ref="E6:E8"/>
    <mergeCell ref="AB4:AD4"/>
    <mergeCell ref="K7:K8"/>
    <mergeCell ref="A19:C19"/>
    <mergeCell ref="A25:C25"/>
    <mergeCell ref="A26:C26"/>
    <mergeCell ref="A21:C21"/>
    <mergeCell ref="O23:R23"/>
    <mergeCell ref="O24:R24"/>
    <mergeCell ref="O25:R25"/>
    <mergeCell ref="O26:R26"/>
    <mergeCell ref="A1:AD1"/>
    <mergeCell ref="A3:AD3"/>
    <mergeCell ref="P6:P8"/>
    <mergeCell ref="C6:C8"/>
    <mergeCell ref="D6:D8"/>
    <mergeCell ref="B6:B8"/>
    <mergeCell ref="G6:G8"/>
    <mergeCell ref="AD6:AD8"/>
    <mergeCell ref="H6:H8"/>
    <mergeCell ref="F6:F8"/>
    <mergeCell ref="I6:I8"/>
    <mergeCell ref="J7:J8"/>
    <mergeCell ref="U6:U8"/>
    <mergeCell ref="S6:S8"/>
    <mergeCell ref="T6:T8"/>
    <mergeCell ref="X6:X8"/>
    <mergeCell ref="X5:AA5"/>
    <mergeCell ref="Q6:Q8"/>
    <mergeCell ref="AA6:AA8"/>
    <mergeCell ref="L7:L8"/>
    <mergeCell ref="M7:M8"/>
    <mergeCell ref="N6:N8"/>
    <mergeCell ref="O6:O8"/>
    <mergeCell ref="R6:R8"/>
  </mergeCells>
  <printOptions horizontalCentered="1"/>
  <pageMargins left="0.5" right="0.5" top="0.45" bottom="0.35" header="0.2" footer="0.17"/>
  <pageSetup paperSize="5" scale="42"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B53"/>
  <sheetViews>
    <sheetView view="pageBreakPreview" zoomScale="75" zoomScaleNormal="70" zoomScaleSheetLayoutView="75" workbookViewId="0">
      <selection activeCell="AQ14" sqref="AQ14"/>
    </sheetView>
  </sheetViews>
  <sheetFormatPr defaultRowHeight="18.75" x14ac:dyDescent="0.3"/>
  <cols>
    <col min="1" max="1" width="5.7109375" style="361" customWidth="1"/>
    <col min="2" max="2" width="12" style="361" customWidth="1"/>
    <col min="3" max="3" width="18.42578125" style="361" customWidth="1"/>
    <col min="4" max="4" width="38.7109375" style="361" customWidth="1"/>
    <col min="5" max="5" width="39.7109375" style="361" customWidth="1"/>
    <col min="6" max="6" width="11.7109375" style="361" customWidth="1"/>
    <col min="7" max="7" width="16.85546875" style="361" customWidth="1"/>
    <col min="8" max="8" width="17.28515625" style="361" customWidth="1"/>
    <col min="9" max="9" width="20.28515625" style="361" customWidth="1"/>
    <col min="10" max="10" width="12.7109375" style="361" customWidth="1"/>
    <col min="11" max="11" width="10.28515625" style="361" customWidth="1"/>
    <col min="12" max="12" width="9.5703125" style="361" customWidth="1"/>
    <col min="13" max="13" width="11.5703125" style="361" customWidth="1"/>
    <col min="14" max="14" width="9.85546875" style="361" bestFit="1" customWidth="1"/>
    <col min="15" max="15" width="10.5703125" style="361" customWidth="1"/>
    <col min="16" max="16" width="21.28515625" style="361" customWidth="1"/>
    <col min="17" max="17" width="14.42578125" style="359" customWidth="1"/>
    <col min="18" max="18" width="13.7109375" style="359" customWidth="1"/>
    <col min="19" max="19" width="14" style="359" customWidth="1"/>
    <col min="20" max="20" width="15" style="359" customWidth="1"/>
    <col min="21" max="21" width="15.140625" style="370" customWidth="1"/>
    <col min="22" max="22" width="13" style="359" bestFit="1" customWidth="1"/>
    <col min="23" max="24" width="12.7109375" style="359" bestFit="1" customWidth="1"/>
    <col min="25" max="25" width="15.28515625" style="359" customWidth="1"/>
    <col min="26" max="26" width="15.85546875" style="369" customWidth="1"/>
    <col min="27" max="27" width="9.140625" style="361"/>
    <col min="28" max="28" width="13.5703125" style="361" bestFit="1" customWidth="1"/>
    <col min="29" max="16384" width="9.140625" style="361"/>
  </cols>
  <sheetData>
    <row r="1" spans="1:28" s="324" customFormat="1" x14ac:dyDescent="0.25">
      <c r="A1" s="419" t="s">
        <v>47</v>
      </c>
      <c r="B1" s="419"/>
      <c r="C1" s="419"/>
      <c r="D1" s="419"/>
      <c r="E1" s="419"/>
      <c r="F1" s="419"/>
      <c r="G1" s="419"/>
      <c r="H1" s="419"/>
      <c r="I1" s="419"/>
      <c r="J1" s="419"/>
      <c r="K1" s="419"/>
      <c r="L1" s="419"/>
      <c r="M1" s="419"/>
      <c r="N1" s="419"/>
      <c r="O1" s="419"/>
      <c r="P1" s="419"/>
      <c r="Q1" s="419"/>
      <c r="R1" s="419"/>
      <c r="S1" s="419"/>
      <c r="T1" s="419"/>
      <c r="U1" s="419"/>
      <c r="V1" s="419"/>
      <c r="W1" s="419"/>
      <c r="X1" s="419"/>
      <c r="Y1" s="419"/>
      <c r="Z1" s="419"/>
    </row>
    <row r="2" spans="1:28" s="324" customFormat="1" x14ac:dyDescent="0.25">
      <c r="A2" s="419" t="s">
        <v>56</v>
      </c>
      <c r="B2" s="419"/>
      <c r="C2" s="419"/>
      <c r="D2" s="419"/>
      <c r="E2" s="419"/>
      <c r="F2" s="419"/>
      <c r="G2" s="419"/>
      <c r="H2" s="419"/>
      <c r="I2" s="419"/>
      <c r="J2" s="419"/>
      <c r="K2" s="419"/>
      <c r="L2" s="419"/>
      <c r="M2" s="419"/>
      <c r="N2" s="419"/>
      <c r="O2" s="419"/>
      <c r="P2" s="419"/>
      <c r="Q2" s="419"/>
      <c r="R2" s="419"/>
      <c r="S2" s="419"/>
      <c r="T2" s="419"/>
      <c r="U2" s="419"/>
      <c r="V2" s="419"/>
      <c r="W2" s="419"/>
      <c r="X2" s="419"/>
      <c r="Y2" s="419"/>
      <c r="Z2" s="419"/>
    </row>
    <row r="3" spans="1:28" s="324" customFormat="1" ht="21.75" customHeight="1" x14ac:dyDescent="0.25">
      <c r="A3" s="381" t="s">
        <v>58</v>
      </c>
      <c r="B3" s="381"/>
      <c r="C3" s="381"/>
      <c r="D3" s="381"/>
      <c r="E3" s="381"/>
      <c r="F3" s="381"/>
      <c r="G3" s="381"/>
      <c r="H3" s="381"/>
      <c r="I3" s="381"/>
      <c r="J3" s="381"/>
      <c r="K3" s="381"/>
      <c r="L3" s="381"/>
      <c r="M3" s="381"/>
      <c r="N3" s="381"/>
      <c r="O3" s="381"/>
      <c r="P3" s="381"/>
      <c r="Q3" s="381"/>
      <c r="R3" s="381"/>
      <c r="S3" s="381"/>
      <c r="T3" s="381"/>
      <c r="U3" s="381"/>
      <c r="V3" s="381"/>
      <c r="W3" s="381"/>
      <c r="X3" s="381"/>
      <c r="Y3" s="381"/>
      <c r="Z3" s="381"/>
    </row>
    <row r="4" spans="1:28" s="324" customFormat="1" ht="22.5" customHeight="1" x14ac:dyDescent="0.25">
      <c r="A4" s="325" t="s">
        <v>225</v>
      </c>
      <c r="B4" s="321"/>
      <c r="C4" s="321"/>
      <c r="D4" s="321"/>
      <c r="E4" s="321"/>
      <c r="F4" s="321"/>
      <c r="G4" s="322"/>
      <c r="H4" s="321"/>
      <c r="I4" s="321"/>
      <c r="J4" s="321"/>
      <c r="K4" s="321"/>
      <c r="L4" s="322"/>
      <c r="M4" s="322"/>
      <c r="N4" s="322"/>
      <c r="O4" s="321"/>
      <c r="P4" s="321"/>
      <c r="Q4" s="321"/>
      <c r="R4" s="321"/>
      <c r="S4" s="321"/>
      <c r="T4" s="321"/>
      <c r="U4" s="323"/>
      <c r="V4" s="321"/>
      <c r="W4" s="321"/>
      <c r="X4" s="321"/>
      <c r="Y4" s="321"/>
      <c r="Z4" s="321"/>
    </row>
    <row r="5" spans="1:28" s="324" customFormat="1" ht="78.75" customHeight="1" x14ac:dyDescent="0.25">
      <c r="A5" s="420" t="s">
        <v>20</v>
      </c>
      <c r="B5" s="376" t="s">
        <v>54</v>
      </c>
      <c r="C5" s="376" t="s">
        <v>34</v>
      </c>
      <c r="D5" s="376" t="s">
        <v>200</v>
      </c>
      <c r="E5" s="376" t="s">
        <v>343</v>
      </c>
      <c r="F5" s="376" t="s">
        <v>24</v>
      </c>
      <c r="G5" s="376" t="s">
        <v>25</v>
      </c>
      <c r="H5" s="376" t="s">
        <v>214</v>
      </c>
      <c r="I5" s="376" t="s">
        <v>26</v>
      </c>
      <c r="J5" s="376" t="s">
        <v>53</v>
      </c>
      <c r="K5" s="420" t="s">
        <v>27</v>
      </c>
      <c r="L5" s="420"/>
      <c r="M5" s="420"/>
      <c r="N5" s="420"/>
      <c r="O5" s="376" t="s">
        <v>31</v>
      </c>
      <c r="P5" s="376" t="s">
        <v>32</v>
      </c>
      <c r="Q5" s="424" t="s">
        <v>4</v>
      </c>
      <c r="R5" s="421" t="s">
        <v>71</v>
      </c>
      <c r="S5" s="422"/>
      <c r="T5" s="423"/>
      <c r="U5" s="428" t="s">
        <v>232</v>
      </c>
      <c r="V5" s="421" t="s">
        <v>75</v>
      </c>
      <c r="W5" s="422"/>
      <c r="X5" s="422"/>
      <c r="Y5" s="424" t="s">
        <v>238</v>
      </c>
      <c r="Z5" s="376" t="s">
        <v>37</v>
      </c>
    </row>
    <row r="6" spans="1:28" s="324" customFormat="1" ht="83.25" customHeight="1" x14ac:dyDescent="0.25">
      <c r="A6" s="420"/>
      <c r="B6" s="377"/>
      <c r="C6" s="377"/>
      <c r="D6" s="377"/>
      <c r="E6" s="382"/>
      <c r="F6" s="377"/>
      <c r="G6" s="377"/>
      <c r="H6" s="377"/>
      <c r="I6" s="377"/>
      <c r="J6" s="377"/>
      <c r="K6" s="83" t="s">
        <v>52</v>
      </c>
      <c r="L6" s="83" t="s">
        <v>21</v>
      </c>
      <c r="M6" s="83" t="s">
        <v>18</v>
      </c>
      <c r="N6" s="83" t="s">
        <v>15</v>
      </c>
      <c r="O6" s="377"/>
      <c r="P6" s="377"/>
      <c r="Q6" s="424"/>
      <c r="R6" s="42" t="s">
        <v>72</v>
      </c>
      <c r="S6" s="42" t="s">
        <v>73</v>
      </c>
      <c r="T6" s="42" t="s">
        <v>74</v>
      </c>
      <c r="U6" s="428"/>
      <c r="V6" s="326" t="s">
        <v>0</v>
      </c>
      <c r="W6" s="326" t="s">
        <v>1</v>
      </c>
      <c r="X6" s="327" t="s">
        <v>2</v>
      </c>
      <c r="Y6" s="425"/>
      <c r="Z6" s="377"/>
    </row>
    <row r="7" spans="1:28" s="328" customFormat="1" ht="18" x14ac:dyDescent="0.25">
      <c r="A7" s="154">
        <v>1</v>
      </c>
      <c r="B7" s="154">
        <v>2</v>
      </c>
      <c r="C7" s="154">
        <v>3</v>
      </c>
      <c r="D7" s="154">
        <v>4</v>
      </c>
      <c r="E7" s="154"/>
      <c r="F7" s="154">
        <v>5</v>
      </c>
      <c r="G7" s="154">
        <v>6</v>
      </c>
      <c r="H7" s="154">
        <v>7</v>
      </c>
      <c r="I7" s="154">
        <v>8</v>
      </c>
      <c r="J7" s="154">
        <v>9</v>
      </c>
      <c r="K7" s="154">
        <v>10</v>
      </c>
      <c r="L7" s="154">
        <v>11</v>
      </c>
      <c r="M7" s="154">
        <v>12</v>
      </c>
      <c r="N7" s="154">
        <v>13</v>
      </c>
      <c r="O7" s="154">
        <v>14</v>
      </c>
      <c r="P7" s="154">
        <v>15</v>
      </c>
      <c r="Q7" s="154">
        <v>16</v>
      </c>
      <c r="R7" s="154"/>
      <c r="S7" s="154"/>
      <c r="T7" s="154"/>
      <c r="U7" s="285">
        <v>17</v>
      </c>
      <c r="V7" s="154">
        <v>18</v>
      </c>
      <c r="W7" s="154">
        <v>19</v>
      </c>
      <c r="X7" s="154">
        <v>20</v>
      </c>
      <c r="Y7" s="154">
        <v>21</v>
      </c>
      <c r="Z7" s="154">
        <v>22</v>
      </c>
    </row>
    <row r="8" spans="1:28" s="329" customFormat="1" ht="38.25" customHeight="1" x14ac:dyDescent="0.25">
      <c r="A8" s="303" t="s">
        <v>346</v>
      </c>
      <c r="B8" s="303"/>
      <c r="C8" s="303"/>
      <c r="D8" s="303"/>
      <c r="E8" s="303"/>
      <c r="F8" s="303"/>
      <c r="G8" s="303"/>
      <c r="H8" s="303"/>
      <c r="I8" s="303"/>
      <c r="J8" s="303"/>
      <c r="K8" s="303"/>
      <c r="L8" s="303"/>
      <c r="M8" s="303"/>
      <c r="N8" s="303"/>
      <c r="O8" s="303"/>
      <c r="P8" s="303"/>
      <c r="Q8" s="303"/>
      <c r="R8" s="303"/>
      <c r="S8" s="303"/>
      <c r="T8" s="303"/>
      <c r="U8" s="308"/>
      <c r="V8" s="303"/>
      <c r="W8" s="303"/>
      <c r="X8" s="303"/>
      <c r="Y8" s="303"/>
      <c r="Z8" s="309"/>
    </row>
    <row r="9" spans="1:28" s="329" customFormat="1" ht="204" customHeight="1" x14ac:dyDescent="0.25">
      <c r="A9" s="326">
        <v>1</v>
      </c>
      <c r="B9" s="326" t="s">
        <v>76</v>
      </c>
      <c r="C9" s="42" t="s">
        <v>77</v>
      </c>
      <c r="D9" s="330" t="s">
        <v>78</v>
      </c>
      <c r="E9" s="331" t="s">
        <v>349</v>
      </c>
      <c r="F9" s="42" t="s">
        <v>79</v>
      </c>
      <c r="G9" s="42" t="s">
        <v>80</v>
      </c>
      <c r="H9" s="42" t="s">
        <v>81</v>
      </c>
      <c r="I9" s="42" t="s">
        <v>82</v>
      </c>
      <c r="J9" s="42">
        <f>1594.42+143.61</f>
        <v>1738.0300000000002</v>
      </c>
      <c r="K9" s="332">
        <f t="shared" ref="K9:K10" si="0">J9-M9</f>
        <v>420.76000000000022</v>
      </c>
      <c r="L9" s="42" t="s">
        <v>83</v>
      </c>
      <c r="M9" s="333">
        <v>1317.27</v>
      </c>
      <c r="N9" s="126" t="s">
        <v>84</v>
      </c>
      <c r="O9" s="334" t="s">
        <v>253</v>
      </c>
      <c r="P9" s="335" t="s">
        <v>255</v>
      </c>
      <c r="Q9" s="336">
        <f>ROUND(74592.52/10^7,3)</f>
        <v>7.0000000000000001E-3</v>
      </c>
      <c r="R9" s="337">
        <v>0</v>
      </c>
      <c r="S9" s="337">
        <v>0</v>
      </c>
      <c r="T9" s="337">
        <v>0</v>
      </c>
      <c r="U9" s="338">
        <v>0</v>
      </c>
      <c r="V9" s="337">
        <v>0</v>
      </c>
      <c r="W9" s="337">
        <v>0</v>
      </c>
      <c r="X9" s="337">
        <v>0</v>
      </c>
      <c r="Y9" s="337">
        <f>'CapEx-23-24'!S10</f>
        <v>651.63199999999995</v>
      </c>
      <c r="Z9" s="337">
        <v>0</v>
      </c>
    </row>
    <row r="10" spans="1:28" s="329" customFormat="1" ht="138.75" customHeight="1" x14ac:dyDescent="0.25">
      <c r="A10" s="326">
        <v>2</v>
      </c>
      <c r="B10" s="42" t="s">
        <v>86</v>
      </c>
      <c r="C10" s="42" t="s">
        <v>87</v>
      </c>
      <c r="D10" s="330" t="s">
        <v>88</v>
      </c>
      <c r="E10" s="331" t="s">
        <v>349</v>
      </c>
      <c r="F10" s="42" t="s">
        <v>79</v>
      </c>
      <c r="G10" s="42" t="s">
        <v>89</v>
      </c>
      <c r="H10" s="42" t="s">
        <v>90</v>
      </c>
      <c r="I10" s="42" t="s">
        <v>91</v>
      </c>
      <c r="J10" s="42">
        <v>95.59</v>
      </c>
      <c r="K10" s="332">
        <f t="shared" si="0"/>
        <v>15.75</v>
      </c>
      <c r="L10" s="42" t="s">
        <v>92</v>
      </c>
      <c r="M10" s="339">
        <v>79.84</v>
      </c>
      <c r="N10" s="126" t="s">
        <v>84</v>
      </c>
      <c r="O10" s="340" t="s">
        <v>93</v>
      </c>
      <c r="P10" s="335" t="s">
        <v>254</v>
      </c>
      <c r="Q10" s="336">
        <f>ROUND(-29421.21/10^7,3)</f>
        <v>-3.0000000000000001E-3</v>
      </c>
      <c r="R10" s="337">
        <v>0</v>
      </c>
      <c r="S10" s="337">
        <v>0</v>
      </c>
      <c r="T10" s="337">
        <v>0</v>
      </c>
      <c r="U10" s="338">
        <v>0</v>
      </c>
      <c r="V10" s="337">
        <v>0</v>
      </c>
      <c r="W10" s="337">
        <v>0</v>
      </c>
      <c r="X10" s="337">
        <v>0</v>
      </c>
      <c r="Y10" s="337">
        <f>'CapEx-23-24'!S11</f>
        <v>45.288000000000004</v>
      </c>
      <c r="Z10" s="337">
        <v>0</v>
      </c>
    </row>
    <row r="11" spans="1:28" s="329" customFormat="1" ht="340.5" customHeight="1" x14ac:dyDescent="0.25">
      <c r="A11" s="154">
        <v>3</v>
      </c>
      <c r="B11" s="326" t="s">
        <v>100</v>
      </c>
      <c r="C11" s="42" t="s">
        <v>101</v>
      </c>
      <c r="D11" s="341" t="s">
        <v>102</v>
      </c>
      <c r="E11" s="331" t="s">
        <v>349</v>
      </c>
      <c r="F11" s="42" t="s">
        <v>79</v>
      </c>
      <c r="G11" s="42" t="s">
        <v>103</v>
      </c>
      <c r="H11" s="42" t="s">
        <v>104</v>
      </c>
      <c r="I11" s="42" t="s">
        <v>183</v>
      </c>
      <c r="J11" s="333">
        <f>1279.05-100.08</f>
        <v>1178.97</v>
      </c>
      <c r="K11" s="333">
        <f t="shared" ref="K11:K13" si="1">J11-M11</f>
        <v>177.32000000000005</v>
      </c>
      <c r="L11" s="42" t="s">
        <v>92</v>
      </c>
      <c r="M11" s="342">
        <v>1001.65</v>
      </c>
      <c r="N11" s="126" t="s">
        <v>84</v>
      </c>
      <c r="O11" s="42" t="s">
        <v>185</v>
      </c>
      <c r="P11" s="335" t="s">
        <v>187</v>
      </c>
      <c r="Q11" s="336">
        <f>ROUND(513177/10^7,3)</f>
        <v>5.0999999999999997E-2</v>
      </c>
      <c r="R11" s="336">
        <f>(-47976696.32)/10^7</f>
        <v>-4.7976696319999999</v>
      </c>
      <c r="S11" s="337">
        <v>10</v>
      </c>
      <c r="T11" s="343">
        <f t="shared" ref="T11:T18" si="2">SUM(R11:S11)</f>
        <v>5.2023303680000001</v>
      </c>
      <c r="U11" s="338">
        <v>0</v>
      </c>
      <c r="V11" s="337">
        <v>0</v>
      </c>
      <c r="W11" s="337">
        <v>0</v>
      </c>
      <c r="X11" s="337">
        <v>0</v>
      </c>
      <c r="Y11" s="337">
        <f>'CapEx-23-24'!S13+T11</f>
        <v>943.94733036800005</v>
      </c>
      <c r="Z11" s="344">
        <v>0</v>
      </c>
    </row>
    <row r="12" spans="1:28" s="329" customFormat="1" ht="144" x14ac:dyDescent="0.25">
      <c r="A12" s="154">
        <v>4</v>
      </c>
      <c r="B12" s="326" t="s">
        <v>108</v>
      </c>
      <c r="C12" s="42" t="s">
        <v>109</v>
      </c>
      <c r="D12" s="330" t="s">
        <v>338</v>
      </c>
      <c r="E12" s="331" t="s">
        <v>349</v>
      </c>
      <c r="F12" s="42" t="s">
        <v>111</v>
      </c>
      <c r="G12" s="42" t="s">
        <v>112</v>
      </c>
      <c r="H12" s="42" t="s">
        <v>113</v>
      </c>
      <c r="I12" s="42" t="s">
        <v>114</v>
      </c>
      <c r="J12" s="333">
        <v>1151.5999999999999</v>
      </c>
      <c r="K12" s="332">
        <f t="shared" si="1"/>
        <v>20.429999999999836</v>
      </c>
      <c r="L12" s="42" t="s">
        <v>83</v>
      </c>
      <c r="M12" s="345">
        <v>1131.17</v>
      </c>
      <c r="N12" s="126" t="s">
        <v>84</v>
      </c>
      <c r="O12" s="334" t="s">
        <v>115</v>
      </c>
      <c r="P12" s="335" t="s">
        <v>259</v>
      </c>
      <c r="Q12" s="336">
        <f>ROUND(5019764.6/10^7,3)</f>
        <v>0.502</v>
      </c>
      <c r="R12" s="337">
        <v>0</v>
      </c>
      <c r="S12" s="337">
        <v>0</v>
      </c>
      <c r="T12" s="337">
        <v>0</v>
      </c>
      <c r="U12" s="338">
        <v>0</v>
      </c>
      <c r="V12" s="337">
        <v>0</v>
      </c>
      <c r="W12" s="337">
        <v>0</v>
      </c>
      <c r="X12" s="337">
        <v>0</v>
      </c>
      <c r="Y12" s="337">
        <f>'CapEx-23-24'!S14</f>
        <v>861.68</v>
      </c>
      <c r="Z12" s="337">
        <v>0</v>
      </c>
    </row>
    <row r="13" spans="1:28" s="329" customFormat="1" ht="360" x14ac:dyDescent="0.25">
      <c r="A13" s="154">
        <v>2</v>
      </c>
      <c r="B13" s="326" t="s">
        <v>116</v>
      </c>
      <c r="C13" s="42" t="s">
        <v>117</v>
      </c>
      <c r="D13" s="341" t="s">
        <v>331</v>
      </c>
      <c r="E13" s="331" t="s">
        <v>349</v>
      </c>
      <c r="F13" s="42" t="s">
        <v>79</v>
      </c>
      <c r="G13" s="42" t="s">
        <v>119</v>
      </c>
      <c r="H13" s="42" t="s">
        <v>120</v>
      </c>
      <c r="I13" s="42" t="s">
        <v>121</v>
      </c>
      <c r="J13" s="333">
        <f>1669+117.4</f>
        <v>1786.4</v>
      </c>
      <c r="K13" s="333">
        <f t="shared" si="1"/>
        <v>8.1400000000001</v>
      </c>
      <c r="L13" s="42" t="s">
        <v>92</v>
      </c>
      <c r="M13" s="342">
        <v>1778.26</v>
      </c>
      <c r="N13" s="126" t="s">
        <v>84</v>
      </c>
      <c r="O13" s="340" t="s">
        <v>122</v>
      </c>
      <c r="P13" s="335" t="s">
        <v>123</v>
      </c>
      <c r="Q13" s="336">
        <f>ROUND(104469143.69/10^7,3)</f>
        <v>10.446999999999999</v>
      </c>
      <c r="R13" s="336">
        <f>(1359823.41)/10^7</f>
        <v>0.13598234099999998</v>
      </c>
      <c r="S13" s="337">
        <f>17-R13</f>
        <v>16.864017659000002</v>
      </c>
      <c r="T13" s="343">
        <f t="shared" si="2"/>
        <v>17</v>
      </c>
      <c r="U13" s="338">
        <v>0</v>
      </c>
      <c r="V13" s="337">
        <v>0</v>
      </c>
      <c r="W13" s="337">
        <v>0</v>
      </c>
      <c r="X13" s="337">
        <v>0</v>
      </c>
      <c r="Y13" s="337">
        <f>'CapEx-23-24'!S15+T13</f>
        <v>1758.5150000000001</v>
      </c>
      <c r="Z13" s="344">
        <v>0</v>
      </c>
    </row>
    <row r="14" spans="1:28" s="329" customFormat="1" ht="365.25" customHeight="1" x14ac:dyDescent="0.25">
      <c r="A14" s="154">
        <v>3</v>
      </c>
      <c r="B14" s="326" t="s">
        <v>142</v>
      </c>
      <c r="C14" s="42" t="s">
        <v>143</v>
      </c>
      <c r="D14" s="330" t="s">
        <v>239</v>
      </c>
      <c r="E14" s="330" t="s">
        <v>345</v>
      </c>
      <c r="F14" s="42" t="s">
        <v>111</v>
      </c>
      <c r="G14" s="42" t="s">
        <v>144</v>
      </c>
      <c r="H14" s="42" t="s">
        <v>145</v>
      </c>
      <c r="I14" s="42" t="s">
        <v>146</v>
      </c>
      <c r="J14" s="42">
        <f>2144.65+209.7</f>
        <v>2354.35</v>
      </c>
      <c r="K14" s="332">
        <f>J14-(1102.26+1110.65)</f>
        <v>141.44000000000005</v>
      </c>
      <c r="L14" s="42" t="s">
        <v>147</v>
      </c>
      <c r="M14" s="346" t="s">
        <v>148</v>
      </c>
      <c r="N14" s="126" t="s">
        <v>84</v>
      </c>
      <c r="O14" s="334" t="s">
        <v>130</v>
      </c>
      <c r="P14" s="154" t="s">
        <v>289</v>
      </c>
      <c r="Q14" s="336">
        <f>ROUND(9916774077.09/10^7,3)</f>
        <v>991.67700000000002</v>
      </c>
      <c r="R14" s="336">
        <f>ROUND(-2648294.56/10^7,3)</f>
        <v>-0.26500000000000001</v>
      </c>
      <c r="S14" s="336">
        <v>100</v>
      </c>
      <c r="T14" s="336">
        <f t="shared" si="2"/>
        <v>99.734999999999999</v>
      </c>
      <c r="U14" s="347">
        <v>200</v>
      </c>
      <c r="V14" s="336">
        <v>30</v>
      </c>
      <c r="W14" s="198">
        <v>0</v>
      </c>
      <c r="X14" s="198">
        <v>0</v>
      </c>
      <c r="Y14" s="336">
        <f>1435.18+T14+U14+V14</f>
        <v>1764.915</v>
      </c>
      <c r="Z14" s="154" t="s">
        <v>290</v>
      </c>
      <c r="AB14" s="139">
        <f>1435.18</f>
        <v>1435.18</v>
      </c>
    </row>
    <row r="15" spans="1:28" s="329" customFormat="1" ht="180" x14ac:dyDescent="0.25">
      <c r="A15" s="154">
        <v>4</v>
      </c>
      <c r="B15" s="326" t="s">
        <v>131</v>
      </c>
      <c r="C15" s="42" t="s">
        <v>132</v>
      </c>
      <c r="D15" s="341" t="s">
        <v>133</v>
      </c>
      <c r="E15" s="330" t="s">
        <v>350</v>
      </c>
      <c r="F15" s="42" t="s">
        <v>79</v>
      </c>
      <c r="G15" s="42" t="s">
        <v>134</v>
      </c>
      <c r="H15" s="42" t="s">
        <v>202</v>
      </c>
      <c r="I15" s="42" t="s">
        <v>332</v>
      </c>
      <c r="J15" s="333">
        <f>228.87+20.92</f>
        <v>249.79000000000002</v>
      </c>
      <c r="K15" s="333">
        <f>J15-M15</f>
        <v>249.79000000000002</v>
      </c>
      <c r="L15" s="42" t="s">
        <v>136</v>
      </c>
      <c r="M15" s="348">
        <v>0</v>
      </c>
      <c r="N15" s="126">
        <v>158.72</v>
      </c>
      <c r="O15" s="334" t="s">
        <v>130</v>
      </c>
      <c r="P15" s="334" t="s">
        <v>347</v>
      </c>
      <c r="Q15" s="336">
        <f>ROUND(934796369.87/10^7,3)</f>
        <v>93.48</v>
      </c>
      <c r="R15" s="336">
        <f>ROUND(40532714.71/10^7,3)</f>
        <v>4.0529999999999999</v>
      </c>
      <c r="S15" s="336">
        <v>50</v>
      </c>
      <c r="T15" s="343">
        <f t="shared" si="2"/>
        <v>54.052999999999997</v>
      </c>
      <c r="U15" s="347">
        <f>199-133.32-T15</f>
        <v>11.62700000000001</v>
      </c>
      <c r="V15" s="198">
        <v>0</v>
      </c>
      <c r="W15" s="198">
        <v>0</v>
      </c>
      <c r="X15" s="198">
        <v>0</v>
      </c>
      <c r="Y15" s="336">
        <f>'CapEx-23-24'!S17+T15+U15</f>
        <v>198.99900000000002</v>
      </c>
      <c r="Z15" s="306" t="s">
        <v>84</v>
      </c>
    </row>
    <row r="16" spans="1:28" s="329" customFormat="1" ht="126" x14ac:dyDescent="0.25">
      <c r="A16" s="154">
        <v>5</v>
      </c>
      <c r="B16" s="326" t="s">
        <v>149</v>
      </c>
      <c r="C16" s="42" t="s">
        <v>150</v>
      </c>
      <c r="D16" s="341" t="s">
        <v>151</v>
      </c>
      <c r="E16" s="330" t="s">
        <v>344</v>
      </c>
      <c r="F16" s="42" t="s">
        <v>79</v>
      </c>
      <c r="G16" s="42" t="s">
        <v>270</v>
      </c>
      <c r="H16" s="42" t="s">
        <v>276</v>
      </c>
      <c r="I16" s="42" t="s">
        <v>333</v>
      </c>
      <c r="J16" s="251">
        <f>175.48+12</f>
        <v>187.48</v>
      </c>
      <c r="K16" s="333">
        <f>J16-M16</f>
        <v>19.179999999999978</v>
      </c>
      <c r="L16" s="8" t="s">
        <v>155</v>
      </c>
      <c r="M16" s="332">
        <v>168.3</v>
      </c>
      <c r="N16" s="126" t="s">
        <v>84</v>
      </c>
      <c r="O16" s="334" t="s">
        <v>156</v>
      </c>
      <c r="P16" s="334" t="s">
        <v>342</v>
      </c>
      <c r="Q16" s="336">
        <f>ROUND(12732886.76/10^7,3)</f>
        <v>1.2729999999999999</v>
      </c>
      <c r="R16" s="336">
        <f>ROUND(2995695.34/10^7,3)</f>
        <v>0.3</v>
      </c>
      <c r="S16" s="336">
        <f>152.92-'CapEx-23-24'!S20-R16</f>
        <v>25.904999999999983</v>
      </c>
      <c r="T16" s="343">
        <f t="shared" si="2"/>
        <v>26.204999999999984</v>
      </c>
      <c r="U16" s="288">
        <v>0</v>
      </c>
      <c r="V16" s="198">
        <v>0</v>
      </c>
      <c r="W16" s="198">
        <v>0</v>
      </c>
      <c r="X16" s="198">
        <v>0</v>
      </c>
      <c r="Y16" s="198">
        <f>'CapEx-23-24'!S20+T16</f>
        <v>152.91999999999999</v>
      </c>
      <c r="Z16" s="306" t="s">
        <v>84</v>
      </c>
    </row>
    <row r="17" spans="1:26" s="329" customFormat="1" ht="90" x14ac:dyDescent="0.25">
      <c r="A17" s="154">
        <v>6</v>
      </c>
      <c r="B17" s="326" t="s">
        <v>138</v>
      </c>
      <c r="C17" s="42" t="s">
        <v>139</v>
      </c>
      <c r="D17" s="330" t="s">
        <v>139</v>
      </c>
      <c r="E17" s="318" t="s">
        <v>360</v>
      </c>
      <c r="F17" s="42" t="s">
        <v>79</v>
      </c>
      <c r="G17" s="349" t="s">
        <v>84</v>
      </c>
      <c r="H17" s="349" t="s">
        <v>84</v>
      </c>
      <c r="I17" s="349" t="s">
        <v>84</v>
      </c>
      <c r="J17" s="349" t="s">
        <v>84</v>
      </c>
      <c r="K17" s="349" t="s">
        <v>84</v>
      </c>
      <c r="L17" s="349" t="s">
        <v>84</v>
      </c>
      <c r="M17" s="349" t="s">
        <v>84</v>
      </c>
      <c r="N17" s="126" t="s">
        <v>84</v>
      </c>
      <c r="O17" s="334" t="s">
        <v>140</v>
      </c>
      <c r="P17" s="350" t="s">
        <v>141</v>
      </c>
      <c r="Q17" s="351">
        <f>ROUND(97695.47/10^7,4)</f>
        <v>9.7999999999999997E-3</v>
      </c>
      <c r="R17" s="351">
        <f>ROUND(97695.47/10^7,4)</f>
        <v>9.7999999999999997E-3</v>
      </c>
      <c r="S17" s="337">
        <v>0</v>
      </c>
      <c r="T17" s="352">
        <f t="shared" si="2"/>
        <v>9.7999999999999997E-3</v>
      </c>
      <c r="U17" s="338">
        <v>0</v>
      </c>
      <c r="V17" s="337">
        <v>0</v>
      </c>
      <c r="W17" s="337">
        <v>0</v>
      </c>
      <c r="X17" s="337">
        <v>0</v>
      </c>
      <c r="Y17" s="255">
        <f>0.853+T17</f>
        <v>0.86280000000000001</v>
      </c>
      <c r="Z17" s="306" t="s">
        <v>84</v>
      </c>
    </row>
    <row r="18" spans="1:26" s="329" customFormat="1" ht="108" x14ac:dyDescent="0.25">
      <c r="A18" s="154">
        <v>7</v>
      </c>
      <c r="B18" s="326" t="s">
        <v>124</v>
      </c>
      <c r="C18" s="42" t="s">
        <v>125</v>
      </c>
      <c r="D18" s="330" t="s">
        <v>126</v>
      </c>
      <c r="E18" s="330" t="s">
        <v>361</v>
      </c>
      <c r="F18" s="42" t="s">
        <v>79</v>
      </c>
      <c r="G18" s="42" t="s">
        <v>127</v>
      </c>
      <c r="H18" s="42" t="s">
        <v>128</v>
      </c>
      <c r="I18" s="42" t="s">
        <v>129</v>
      </c>
      <c r="J18" s="42">
        <f>423.31+30.92</f>
        <v>454.23</v>
      </c>
      <c r="K18" s="332">
        <f t="shared" ref="K18" si="3">J18-M18</f>
        <v>49.230000000000018</v>
      </c>
      <c r="L18" s="42" t="s">
        <v>92</v>
      </c>
      <c r="M18" s="345">
        <v>405</v>
      </c>
      <c r="N18" s="126" t="s">
        <v>84</v>
      </c>
      <c r="O18" s="334" t="s">
        <v>130</v>
      </c>
      <c r="P18" s="335" t="s">
        <v>316</v>
      </c>
      <c r="Q18" s="336">
        <f>ROUND(1708255054.02/10^7,3)</f>
        <v>170.82599999999999</v>
      </c>
      <c r="R18" s="336">
        <f>ROUND(60928315.9/10^7,3)</f>
        <v>6.093</v>
      </c>
      <c r="S18" s="336">
        <f>210-R18-Q18</f>
        <v>33.081000000000017</v>
      </c>
      <c r="T18" s="336">
        <f t="shared" si="2"/>
        <v>39.174000000000021</v>
      </c>
      <c r="U18" s="347">
        <v>10</v>
      </c>
      <c r="V18" s="336">
        <v>6</v>
      </c>
      <c r="W18" s="198">
        <v>0</v>
      </c>
      <c r="X18" s="198">
        <v>0</v>
      </c>
      <c r="Y18" s="336">
        <f>'CapEx-23-24'!S16+T18+U18+V18</f>
        <v>226</v>
      </c>
      <c r="Z18" s="154" t="s">
        <v>280</v>
      </c>
    </row>
    <row r="19" spans="1:26" s="328" customFormat="1" ht="34.5" customHeight="1" x14ac:dyDescent="0.25">
      <c r="A19" s="436" t="s">
        <v>64</v>
      </c>
      <c r="B19" s="437"/>
      <c r="C19" s="438"/>
      <c r="D19" s="154"/>
      <c r="E19" s="139"/>
      <c r="F19" s="154"/>
      <c r="G19" s="154"/>
      <c r="H19" s="154"/>
      <c r="I19" s="154"/>
      <c r="J19" s="154"/>
      <c r="K19" s="154"/>
      <c r="L19" s="154"/>
      <c r="M19" s="154"/>
      <c r="N19" s="154"/>
      <c r="O19" s="154"/>
      <c r="P19" s="154"/>
      <c r="Q19" s="252">
        <f>SUM(Q11:Q18)</f>
        <v>1268.2657999999999</v>
      </c>
      <c r="R19" s="252">
        <f>SUM(R11:R18)</f>
        <v>5.5291127090000005</v>
      </c>
      <c r="S19" s="252">
        <f t="shared" ref="S19:V19" si="4">SUM(S11:S18)</f>
        <v>235.850017659</v>
      </c>
      <c r="T19" s="252">
        <f t="shared" si="4"/>
        <v>241.37913036800001</v>
      </c>
      <c r="U19" s="310">
        <f t="shared" si="4"/>
        <v>221.62700000000001</v>
      </c>
      <c r="V19" s="252">
        <f t="shared" si="4"/>
        <v>36</v>
      </c>
      <c r="W19" s="252">
        <f t="shared" ref="W19" si="5">SUM(W11:W18)</f>
        <v>0</v>
      </c>
      <c r="X19" s="252">
        <f t="shared" ref="X19" si="6">SUM(X11:X18)</f>
        <v>0</v>
      </c>
      <c r="Y19" s="154"/>
      <c r="Z19" s="353"/>
    </row>
    <row r="20" spans="1:26" s="328" customFormat="1" ht="34.5" customHeight="1" x14ac:dyDescent="0.25">
      <c r="A20" s="303" t="s">
        <v>69</v>
      </c>
      <c r="B20" s="303"/>
      <c r="C20" s="303"/>
      <c r="D20" s="303"/>
      <c r="E20" s="303"/>
      <c r="F20" s="303"/>
      <c r="G20" s="303"/>
      <c r="H20" s="303"/>
      <c r="I20" s="303"/>
      <c r="J20" s="303"/>
      <c r="K20" s="303"/>
      <c r="L20" s="303"/>
      <c r="M20" s="303"/>
      <c r="N20" s="303"/>
      <c r="O20" s="303"/>
      <c r="P20" s="303"/>
      <c r="Q20" s="303"/>
      <c r="R20" s="303"/>
      <c r="S20" s="303"/>
      <c r="T20" s="303"/>
      <c r="U20" s="308"/>
      <c r="V20" s="303"/>
      <c r="W20" s="303"/>
      <c r="X20" s="303"/>
      <c r="Y20" s="303"/>
      <c r="Z20" s="309"/>
    </row>
    <row r="21" spans="1:26" s="359" customFormat="1" ht="154.5" customHeight="1" x14ac:dyDescent="0.25">
      <c r="A21" s="119">
        <v>1</v>
      </c>
      <c r="B21" s="354" t="s">
        <v>84</v>
      </c>
      <c r="C21" s="119" t="s">
        <v>291</v>
      </c>
      <c r="D21" s="355" t="s">
        <v>314</v>
      </c>
      <c r="E21" s="355" t="s">
        <v>355</v>
      </c>
      <c r="F21" s="119" t="s">
        <v>79</v>
      </c>
      <c r="G21" s="119" t="s">
        <v>240</v>
      </c>
      <c r="H21" s="119" t="s">
        <v>296</v>
      </c>
      <c r="I21" s="354" t="s">
        <v>84</v>
      </c>
      <c r="J21" s="354" t="s">
        <v>84</v>
      </c>
      <c r="K21" s="354" t="s">
        <v>84</v>
      </c>
      <c r="L21" s="354" t="s">
        <v>84</v>
      </c>
      <c r="M21" s="354" t="s">
        <v>84</v>
      </c>
      <c r="N21" s="354" t="s">
        <v>84</v>
      </c>
      <c r="O21" s="119" t="s">
        <v>241</v>
      </c>
      <c r="P21" s="356" t="s">
        <v>293</v>
      </c>
      <c r="Q21" s="357">
        <v>0</v>
      </c>
      <c r="R21" s="357">
        <v>0</v>
      </c>
      <c r="S21" s="357">
        <v>0</v>
      </c>
      <c r="T21" s="357">
        <v>0</v>
      </c>
      <c r="U21" s="358">
        <f>80*0.9+(40+30)*0.2</f>
        <v>86</v>
      </c>
      <c r="V21" s="357">
        <f>80+(40+30)-U21</f>
        <v>64</v>
      </c>
      <c r="W21" s="357">
        <v>0</v>
      </c>
      <c r="X21" s="357">
        <v>0</v>
      </c>
      <c r="Y21" s="357">
        <f>SUM(U21:X21)</f>
        <v>150</v>
      </c>
      <c r="Z21" s="246" t="s">
        <v>294</v>
      </c>
    </row>
    <row r="22" spans="1:26" s="359" customFormat="1" ht="138.75" customHeight="1" x14ac:dyDescent="0.25">
      <c r="A22" s="119">
        <v>2</v>
      </c>
      <c r="B22" s="354" t="s">
        <v>84</v>
      </c>
      <c r="C22" s="119" t="s">
        <v>251</v>
      </c>
      <c r="D22" s="355" t="s">
        <v>301</v>
      </c>
      <c r="E22" s="426" t="s">
        <v>356</v>
      </c>
      <c r="F22" s="119" t="s">
        <v>79</v>
      </c>
      <c r="G22" s="119" t="s">
        <v>240</v>
      </c>
      <c r="H22" s="354" t="s">
        <v>84</v>
      </c>
      <c r="I22" s="354" t="s">
        <v>84</v>
      </c>
      <c r="J22" s="354" t="s">
        <v>84</v>
      </c>
      <c r="K22" s="354" t="s">
        <v>84</v>
      </c>
      <c r="L22" s="354" t="s">
        <v>84</v>
      </c>
      <c r="M22" s="354" t="s">
        <v>84</v>
      </c>
      <c r="N22" s="354" t="s">
        <v>84</v>
      </c>
      <c r="O22" s="119" t="s">
        <v>281</v>
      </c>
      <c r="P22" s="356" t="s">
        <v>297</v>
      </c>
      <c r="Q22" s="357">
        <v>0</v>
      </c>
      <c r="R22" s="357">
        <v>0</v>
      </c>
      <c r="S22" s="357">
        <v>0</v>
      </c>
      <c r="T22" s="357">
        <v>0</v>
      </c>
      <c r="U22" s="358">
        <f>360*0.3</f>
        <v>108</v>
      </c>
      <c r="V22" s="357">
        <f>360*0.6</f>
        <v>216</v>
      </c>
      <c r="W22" s="357">
        <f>360-(U22+V22)</f>
        <v>36</v>
      </c>
      <c r="X22" s="357">
        <v>0</v>
      </c>
      <c r="Y22" s="357">
        <f>SUM(U22:X22)</f>
        <v>360</v>
      </c>
      <c r="Z22" s="246" t="s">
        <v>294</v>
      </c>
    </row>
    <row r="23" spans="1:26" s="359" customFormat="1" ht="222" customHeight="1" x14ac:dyDescent="0.25">
      <c r="A23" s="119">
        <v>3</v>
      </c>
      <c r="B23" s="354" t="s">
        <v>84</v>
      </c>
      <c r="C23" s="119" t="s">
        <v>252</v>
      </c>
      <c r="D23" s="355" t="s">
        <v>302</v>
      </c>
      <c r="E23" s="427"/>
      <c r="F23" s="119" t="s">
        <v>79</v>
      </c>
      <c r="G23" s="119" t="s">
        <v>240</v>
      </c>
      <c r="H23" s="354" t="s">
        <v>84</v>
      </c>
      <c r="I23" s="354" t="s">
        <v>84</v>
      </c>
      <c r="J23" s="354" t="s">
        <v>84</v>
      </c>
      <c r="K23" s="354" t="s">
        <v>84</v>
      </c>
      <c r="L23" s="354" t="s">
        <v>84</v>
      </c>
      <c r="M23" s="354" t="s">
        <v>84</v>
      </c>
      <c r="N23" s="354" t="s">
        <v>84</v>
      </c>
      <c r="O23" s="119" t="s">
        <v>281</v>
      </c>
      <c r="P23" s="356" t="s">
        <v>297</v>
      </c>
      <c r="Q23" s="357">
        <v>0</v>
      </c>
      <c r="R23" s="357">
        <v>0</v>
      </c>
      <c r="S23" s="357">
        <v>0</v>
      </c>
      <c r="T23" s="357">
        <v>0</v>
      </c>
      <c r="U23" s="358">
        <f>400*0.3</f>
        <v>120</v>
      </c>
      <c r="V23" s="357">
        <f>400*0.6</f>
        <v>240</v>
      </c>
      <c r="W23" s="357">
        <f>400-(U23+V23)</f>
        <v>40</v>
      </c>
      <c r="X23" s="357">
        <v>0</v>
      </c>
      <c r="Y23" s="357">
        <f>SUM(U23:X23)</f>
        <v>400</v>
      </c>
      <c r="Z23" s="246" t="s">
        <v>294</v>
      </c>
    </row>
    <row r="24" spans="1:26" s="328" customFormat="1" ht="34.5" customHeight="1" x14ac:dyDescent="0.25">
      <c r="A24" s="436" t="s">
        <v>295</v>
      </c>
      <c r="B24" s="437"/>
      <c r="C24" s="438"/>
      <c r="D24" s="154"/>
      <c r="E24" s="139"/>
      <c r="F24" s="154"/>
      <c r="G24" s="154"/>
      <c r="H24" s="154"/>
      <c r="I24" s="154"/>
      <c r="J24" s="154"/>
      <c r="K24" s="154"/>
      <c r="L24" s="154"/>
      <c r="M24" s="154"/>
      <c r="N24" s="154"/>
      <c r="O24" s="154"/>
      <c r="P24" s="154"/>
      <c r="Q24" s="200">
        <f t="shared" ref="Q24:Y24" si="7">SUM(Q21:Q23)</f>
        <v>0</v>
      </c>
      <c r="R24" s="200">
        <f t="shared" si="7"/>
        <v>0</v>
      </c>
      <c r="S24" s="200">
        <f t="shared" si="7"/>
        <v>0</v>
      </c>
      <c r="T24" s="200">
        <f t="shared" si="7"/>
        <v>0</v>
      </c>
      <c r="U24" s="290">
        <f t="shared" si="7"/>
        <v>314</v>
      </c>
      <c r="V24" s="200">
        <f t="shared" si="7"/>
        <v>520</v>
      </c>
      <c r="W24" s="200">
        <f t="shared" si="7"/>
        <v>76</v>
      </c>
      <c r="X24" s="200">
        <f t="shared" si="7"/>
        <v>0</v>
      </c>
      <c r="Y24" s="200">
        <f t="shared" si="7"/>
        <v>910</v>
      </c>
      <c r="Z24" s="353"/>
    </row>
    <row r="25" spans="1:26" s="360" customFormat="1" ht="34.5" customHeight="1" x14ac:dyDescent="0.3">
      <c r="A25" s="303" t="s">
        <v>348</v>
      </c>
      <c r="B25" s="303"/>
      <c r="C25" s="303"/>
      <c r="D25" s="303"/>
      <c r="E25" s="303"/>
      <c r="F25" s="303"/>
      <c r="G25" s="303"/>
      <c r="H25" s="303"/>
      <c r="I25" s="303"/>
      <c r="J25" s="303"/>
      <c r="K25" s="303"/>
      <c r="L25" s="303"/>
      <c r="M25" s="303"/>
      <c r="N25" s="303"/>
      <c r="O25" s="303"/>
      <c r="P25" s="303"/>
      <c r="Q25" s="303"/>
      <c r="R25" s="303"/>
      <c r="S25" s="303"/>
      <c r="T25" s="303"/>
      <c r="U25" s="308"/>
      <c r="V25" s="303"/>
      <c r="W25" s="303"/>
      <c r="X25" s="303"/>
      <c r="Y25" s="303"/>
      <c r="Z25" s="309"/>
    </row>
    <row r="26" spans="1:26" ht="66.75" customHeight="1" x14ac:dyDescent="0.3">
      <c r="A26" s="119">
        <v>1</v>
      </c>
      <c r="B26" s="119" t="s">
        <v>171</v>
      </c>
      <c r="C26" s="119" t="s">
        <v>339</v>
      </c>
      <c r="D26" s="355" t="s">
        <v>339</v>
      </c>
      <c r="E26" s="355"/>
      <c r="F26" s="119" t="s">
        <v>84</v>
      </c>
      <c r="G26" s="119" t="s">
        <v>84</v>
      </c>
      <c r="H26" s="119" t="s">
        <v>84</v>
      </c>
      <c r="I26" s="119" t="s">
        <v>84</v>
      </c>
      <c r="J26" s="119" t="s">
        <v>84</v>
      </c>
      <c r="K26" s="119" t="s">
        <v>84</v>
      </c>
      <c r="L26" s="119" t="s">
        <v>84</v>
      </c>
      <c r="M26" s="119" t="s">
        <v>84</v>
      </c>
      <c r="N26" s="119" t="s">
        <v>84</v>
      </c>
      <c r="O26" s="119" t="s">
        <v>84</v>
      </c>
      <c r="P26" s="119" t="s">
        <v>84</v>
      </c>
      <c r="Q26" s="336">
        <f>ROUND(407899/10^7,3)</f>
        <v>4.1000000000000002E-2</v>
      </c>
      <c r="R26" s="119" t="s">
        <v>84</v>
      </c>
      <c r="S26" s="119" t="s">
        <v>84</v>
      </c>
      <c r="T26" s="343">
        <f>SUM(R26:S26)</f>
        <v>0</v>
      </c>
      <c r="U26" s="291" t="s">
        <v>84</v>
      </c>
      <c r="V26" s="119" t="s">
        <v>84</v>
      </c>
      <c r="W26" s="119" t="s">
        <v>84</v>
      </c>
      <c r="X26" s="119" t="s">
        <v>84</v>
      </c>
      <c r="Y26" s="119" t="s">
        <v>84</v>
      </c>
      <c r="Z26" s="119"/>
    </row>
    <row r="27" spans="1:26" ht="71.25" customHeight="1" x14ac:dyDescent="0.3">
      <c r="A27" s="119">
        <v>2</v>
      </c>
      <c r="B27" s="119" t="s">
        <v>334</v>
      </c>
      <c r="C27" s="119" t="s">
        <v>335</v>
      </c>
      <c r="D27" s="355" t="s">
        <v>315</v>
      </c>
      <c r="E27" s="355" t="s">
        <v>358</v>
      </c>
      <c r="F27" s="119" t="s">
        <v>84</v>
      </c>
      <c r="G27" s="119" t="s">
        <v>84</v>
      </c>
      <c r="H27" s="119" t="s">
        <v>84</v>
      </c>
      <c r="I27" s="119" t="s">
        <v>84</v>
      </c>
      <c r="J27" s="119" t="s">
        <v>84</v>
      </c>
      <c r="K27" s="439" t="s">
        <v>84</v>
      </c>
      <c r="L27" s="431"/>
      <c r="M27" s="431"/>
      <c r="N27" s="432"/>
      <c r="O27" s="119" t="s">
        <v>84</v>
      </c>
      <c r="P27" s="119" t="s">
        <v>84</v>
      </c>
      <c r="Q27" s="119" t="s">
        <v>84</v>
      </c>
      <c r="R27" s="336">
        <f>ROUND(2863403/10^7,3)</f>
        <v>0.28599999999999998</v>
      </c>
      <c r="S27" s="119" t="s">
        <v>84</v>
      </c>
      <c r="T27" s="343">
        <f>SUM(R27:S27)</f>
        <v>0.28599999999999998</v>
      </c>
      <c r="U27" s="291" t="s">
        <v>84</v>
      </c>
      <c r="V27" s="119" t="s">
        <v>84</v>
      </c>
      <c r="W27" s="119" t="s">
        <v>84</v>
      </c>
      <c r="X27" s="119" t="s">
        <v>84</v>
      </c>
      <c r="Y27" s="261">
        <f>T27</f>
        <v>0.28599999999999998</v>
      </c>
      <c r="Z27" s="119"/>
    </row>
    <row r="28" spans="1:26" s="359" customFormat="1" ht="131.25" customHeight="1" x14ac:dyDescent="0.25">
      <c r="A28" s="119">
        <v>3</v>
      </c>
      <c r="B28" s="119" t="s">
        <v>245</v>
      </c>
      <c r="C28" s="119" t="s">
        <v>298</v>
      </c>
      <c r="D28" s="355" t="s">
        <v>336</v>
      </c>
      <c r="E28" s="355" t="s">
        <v>359</v>
      </c>
      <c r="F28" s="119" t="s">
        <v>233</v>
      </c>
      <c r="G28" s="119" t="s">
        <v>240</v>
      </c>
      <c r="H28" s="354" t="s">
        <v>84</v>
      </c>
      <c r="I28" s="354" t="s">
        <v>84</v>
      </c>
      <c r="J28" s="354" t="s">
        <v>84</v>
      </c>
      <c r="K28" s="430" t="s">
        <v>244</v>
      </c>
      <c r="L28" s="431"/>
      <c r="M28" s="431"/>
      <c r="N28" s="432"/>
      <c r="O28" s="119" t="s">
        <v>281</v>
      </c>
      <c r="P28" s="356" t="s">
        <v>283</v>
      </c>
      <c r="Q28" s="357">
        <v>0</v>
      </c>
      <c r="R28" s="357">
        <v>0</v>
      </c>
      <c r="S28" s="357">
        <v>0</v>
      </c>
      <c r="T28" s="357">
        <v>0</v>
      </c>
      <c r="U28" s="358">
        <f>(153+13*5)*0.4</f>
        <v>87.2</v>
      </c>
      <c r="V28" s="357">
        <f>218*0.6</f>
        <v>130.79999999999998</v>
      </c>
      <c r="W28" s="362">
        <f>218-U28-V28</f>
        <v>0</v>
      </c>
      <c r="X28" s="357">
        <v>0</v>
      </c>
      <c r="Y28" s="357">
        <f>SUM(U28:X28)</f>
        <v>218</v>
      </c>
      <c r="Z28" s="246" t="s">
        <v>294</v>
      </c>
    </row>
    <row r="29" spans="1:26" s="359" customFormat="1" ht="62.25" customHeight="1" x14ac:dyDescent="0.25">
      <c r="A29" s="119">
        <v>5</v>
      </c>
      <c r="B29" s="119" t="s">
        <v>340</v>
      </c>
      <c r="C29" s="363" t="s">
        <v>341</v>
      </c>
      <c r="D29" s="355" t="s">
        <v>341</v>
      </c>
      <c r="E29" s="364" t="s">
        <v>84</v>
      </c>
      <c r="F29" s="119" t="s">
        <v>84</v>
      </c>
      <c r="G29" s="354" t="s">
        <v>84</v>
      </c>
      <c r="H29" s="354" t="s">
        <v>84</v>
      </c>
      <c r="I29" s="354" t="s">
        <v>84</v>
      </c>
      <c r="J29" s="354" t="s">
        <v>84</v>
      </c>
      <c r="K29" s="439" t="s">
        <v>84</v>
      </c>
      <c r="L29" s="431"/>
      <c r="M29" s="431"/>
      <c r="N29" s="432"/>
      <c r="O29" s="354" t="s">
        <v>84</v>
      </c>
      <c r="P29" s="354" t="s">
        <v>84</v>
      </c>
      <c r="Q29" s="336">
        <f>ROUND(180176.17/10^7,3)</f>
        <v>1.7999999999999999E-2</v>
      </c>
      <c r="R29" s="357">
        <v>0</v>
      </c>
      <c r="S29" s="357">
        <v>0</v>
      </c>
      <c r="T29" s="357">
        <v>0</v>
      </c>
      <c r="U29" s="358">
        <v>0</v>
      </c>
      <c r="V29" s="357">
        <v>0</v>
      </c>
      <c r="W29" s="357">
        <v>0</v>
      </c>
      <c r="X29" s="357">
        <v>0</v>
      </c>
      <c r="Y29" s="357">
        <f>SUM(U29:X29)</f>
        <v>0</v>
      </c>
      <c r="Z29" s="246"/>
    </row>
    <row r="30" spans="1:26" s="359" customFormat="1" ht="141.75" customHeight="1" x14ac:dyDescent="0.25">
      <c r="A30" s="119">
        <v>4</v>
      </c>
      <c r="B30" s="119" t="s">
        <v>245</v>
      </c>
      <c r="C30" s="119" t="s">
        <v>362</v>
      </c>
      <c r="D30" s="355" t="s">
        <v>243</v>
      </c>
      <c r="E30" s="355" t="s">
        <v>351</v>
      </c>
      <c r="F30" s="119" t="s">
        <v>233</v>
      </c>
      <c r="G30" s="119" t="s">
        <v>240</v>
      </c>
      <c r="H30" s="354" t="s">
        <v>84</v>
      </c>
      <c r="I30" s="354" t="s">
        <v>84</v>
      </c>
      <c r="J30" s="354" t="s">
        <v>84</v>
      </c>
      <c r="K30" s="430" t="s">
        <v>244</v>
      </c>
      <c r="L30" s="431"/>
      <c r="M30" s="431"/>
      <c r="N30" s="432"/>
      <c r="O30" s="119" t="s">
        <v>292</v>
      </c>
      <c r="P30" s="356" t="s">
        <v>282</v>
      </c>
      <c r="Q30" s="357">
        <v>0</v>
      </c>
      <c r="R30" s="357">
        <v>0</v>
      </c>
      <c r="S30" s="357">
        <v>0</v>
      </c>
      <c r="T30" s="357">
        <v>0</v>
      </c>
      <c r="U30" s="358">
        <f>436.01*0.1</f>
        <v>43.600999999999999</v>
      </c>
      <c r="V30" s="362">
        <f>436.01*0.5</f>
        <v>218.005</v>
      </c>
      <c r="W30" s="362">
        <f>436.01-U30-V30</f>
        <v>174.404</v>
      </c>
      <c r="X30" s="357">
        <v>0</v>
      </c>
      <c r="Y30" s="357">
        <f>SUM(U30:X30)</f>
        <v>436.01</v>
      </c>
      <c r="Z30" s="246" t="s">
        <v>242</v>
      </c>
    </row>
    <row r="31" spans="1:26" s="324" customFormat="1" ht="34.5" customHeight="1" x14ac:dyDescent="0.25">
      <c r="A31" s="433" t="s">
        <v>67</v>
      </c>
      <c r="B31" s="434"/>
      <c r="C31" s="435"/>
      <c r="D31" s="246"/>
      <c r="E31" s="319"/>
      <c r="F31" s="246"/>
      <c r="G31" s="246"/>
      <c r="H31" s="246"/>
      <c r="I31" s="246"/>
      <c r="J31" s="311"/>
      <c r="K31" s="312"/>
      <c r="L31" s="304"/>
      <c r="M31" s="304"/>
      <c r="N31" s="313"/>
      <c r="O31" s="314"/>
      <c r="P31" s="246"/>
      <c r="Q31" s="253">
        <f>SUM(Q26:Q30)</f>
        <v>5.8999999999999997E-2</v>
      </c>
      <c r="R31" s="253">
        <f>SUM(R26:R30)</f>
        <v>0.28599999999999998</v>
      </c>
      <c r="S31" s="253">
        <f t="shared" ref="S31:T31" si="8">SUM(S26:S30)</f>
        <v>0</v>
      </c>
      <c r="T31" s="253">
        <f t="shared" si="8"/>
        <v>0.28599999999999998</v>
      </c>
      <c r="U31" s="292">
        <f>SUM(U28:U30)</f>
        <v>130.80099999999999</v>
      </c>
      <c r="V31" s="201">
        <f>SUM(V28:V30)</f>
        <v>348.80499999999995</v>
      </c>
      <c r="W31" s="201">
        <f>SUM(W28:W30)</f>
        <v>174.404</v>
      </c>
      <c r="X31" s="201">
        <f t="shared" ref="X31" si="9">X28</f>
        <v>0</v>
      </c>
      <c r="Y31" s="201">
        <f>SUM(Y28:Y30)</f>
        <v>654.01</v>
      </c>
      <c r="Z31" s="365"/>
    </row>
    <row r="32" spans="1:26" s="324" customFormat="1" ht="33" customHeight="1" x14ac:dyDescent="0.25">
      <c r="A32" s="436" t="s">
        <v>68</v>
      </c>
      <c r="B32" s="437"/>
      <c r="C32" s="437"/>
      <c r="D32" s="312"/>
      <c r="E32" s="320"/>
      <c r="F32" s="304"/>
      <c r="G32" s="304"/>
      <c r="H32" s="304"/>
      <c r="I32" s="304"/>
      <c r="J32" s="304"/>
      <c r="K32" s="304"/>
      <c r="L32" s="304"/>
      <c r="M32" s="304"/>
      <c r="N32" s="304"/>
      <c r="O32" s="304"/>
      <c r="P32" s="304"/>
      <c r="Q32" s="257">
        <f>Q19+Q31</f>
        <v>1268.3247999999999</v>
      </c>
      <c r="R32" s="257">
        <f>R19+R31</f>
        <v>5.8151127090000001</v>
      </c>
      <c r="S32" s="257">
        <f>S19+S31</f>
        <v>235.850017659</v>
      </c>
      <c r="T32" s="257">
        <f>T19+T31</f>
        <v>241.66513036800001</v>
      </c>
      <c r="U32" s="290">
        <f>U19+U24+U31</f>
        <v>666.42799999999988</v>
      </c>
      <c r="V32" s="200">
        <f>V19+V24+V31</f>
        <v>904.80499999999995</v>
      </c>
      <c r="W32" s="200">
        <f>W19+W24+W31</f>
        <v>250.404</v>
      </c>
      <c r="X32" s="200">
        <f>X19+X24</f>
        <v>0</v>
      </c>
      <c r="Y32" s="200">
        <f>Y19+Y24+Y31</f>
        <v>1564.01</v>
      </c>
      <c r="Z32" s="366"/>
    </row>
    <row r="33" spans="1:26" s="324" customFormat="1" ht="9" customHeight="1" x14ac:dyDescent="0.25">
      <c r="A33" s="256"/>
      <c r="B33" s="256"/>
      <c r="C33" s="256"/>
      <c r="D33" s="305"/>
      <c r="E33" s="305"/>
      <c r="F33" s="305"/>
      <c r="G33" s="305"/>
      <c r="H33" s="305"/>
      <c r="I33" s="305"/>
      <c r="J33" s="305"/>
      <c r="K33" s="305"/>
      <c r="L33" s="305"/>
      <c r="M33" s="305"/>
      <c r="N33" s="305"/>
      <c r="O33" s="305"/>
      <c r="P33" s="305"/>
      <c r="Q33" s="305"/>
      <c r="R33" s="234"/>
      <c r="S33" s="234"/>
      <c r="T33" s="234"/>
      <c r="U33" s="315"/>
      <c r="V33" s="234"/>
      <c r="W33" s="234"/>
      <c r="X33" s="234"/>
      <c r="Y33" s="234"/>
      <c r="Z33" s="367"/>
    </row>
    <row r="34" spans="1:26" s="324" customFormat="1" ht="102" customHeight="1" x14ac:dyDescent="0.25">
      <c r="A34" s="429" t="s">
        <v>288</v>
      </c>
      <c r="B34" s="429"/>
      <c r="C34" s="429"/>
      <c r="D34" s="429"/>
      <c r="E34" s="429"/>
      <c r="F34" s="429"/>
      <c r="G34" s="429"/>
      <c r="H34" s="429"/>
      <c r="I34" s="429"/>
      <c r="J34" s="429"/>
      <c r="K34" s="429"/>
      <c r="L34" s="429"/>
      <c r="M34" s="429"/>
      <c r="N34" s="429"/>
      <c r="O34" s="429"/>
      <c r="P34" s="429"/>
      <c r="Q34" s="429"/>
      <c r="R34" s="429"/>
      <c r="S34" s="429"/>
      <c r="T34" s="429"/>
      <c r="U34" s="429"/>
      <c r="V34" s="429"/>
      <c r="W34" s="429"/>
      <c r="X34" s="429"/>
      <c r="Y34" s="429"/>
      <c r="Z34" s="429"/>
    </row>
    <row r="35" spans="1:26" s="324" customFormat="1" ht="29.25" customHeight="1" x14ac:dyDescent="0.25">
      <c r="A35" s="256"/>
      <c r="B35" s="256"/>
      <c r="C35" s="256"/>
      <c r="D35" s="305"/>
      <c r="E35" s="305"/>
      <c r="F35" s="305"/>
      <c r="G35" s="305"/>
      <c r="H35" s="305"/>
      <c r="I35" s="305"/>
      <c r="J35" s="305"/>
      <c r="K35" s="305"/>
      <c r="L35" s="305"/>
      <c r="M35" s="305"/>
      <c r="N35" s="305"/>
      <c r="O35" s="305"/>
      <c r="P35" s="305"/>
      <c r="Q35" s="305"/>
      <c r="R35" s="305"/>
      <c r="S35" s="305"/>
      <c r="T35" s="305"/>
      <c r="U35" s="316"/>
      <c r="V35" s="305"/>
      <c r="W35" s="418" t="s">
        <v>357</v>
      </c>
      <c r="X35" s="418"/>
      <c r="Y35" s="418"/>
      <c r="Z35" s="418"/>
    </row>
    <row r="36" spans="1:26" ht="2.25" customHeight="1" x14ac:dyDescent="0.3">
      <c r="U36" s="368" t="s">
        <v>210</v>
      </c>
    </row>
    <row r="37" spans="1:26" x14ac:dyDescent="0.3">
      <c r="A37" s="361" t="s">
        <v>44</v>
      </c>
    </row>
    <row r="39" spans="1:26" x14ac:dyDescent="0.3">
      <c r="A39" s="361" t="s">
        <v>55</v>
      </c>
    </row>
    <row r="48" spans="1:26" s="329" customFormat="1" ht="409.5" x14ac:dyDescent="0.25">
      <c r="A48" s="139">
        <v>1</v>
      </c>
      <c r="B48" s="326" t="s">
        <v>116</v>
      </c>
      <c r="C48" s="42" t="s">
        <v>117</v>
      </c>
      <c r="D48" s="330" t="s">
        <v>118</v>
      </c>
      <c r="E48" s="330"/>
      <c r="F48" s="42" t="s">
        <v>79</v>
      </c>
      <c r="G48" s="42" t="s">
        <v>119</v>
      </c>
      <c r="H48" s="42" t="s">
        <v>120</v>
      </c>
      <c r="I48" s="42" t="s">
        <v>121</v>
      </c>
      <c r="J48" s="333">
        <f>1669+117.4</f>
        <v>1786.4</v>
      </c>
      <c r="K48" s="332">
        <f>J48-M48</f>
        <v>8.1400000000001</v>
      </c>
      <c r="L48" s="42" t="s">
        <v>92</v>
      </c>
      <c r="M48" s="333">
        <v>1778.26</v>
      </c>
      <c r="N48" s="126" t="s">
        <v>84</v>
      </c>
      <c r="O48" s="340" t="s">
        <v>122</v>
      </c>
      <c r="P48" s="334" t="s">
        <v>123</v>
      </c>
      <c r="Q48" s="139"/>
      <c r="R48" s="336">
        <f>ROUND(1359823.41/10^7,3)</f>
        <v>0.13600000000000001</v>
      </c>
      <c r="S48" s="139"/>
      <c r="T48" s="139"/>
      <c r="U48" s="317"/>
      <c r="V48" s="139"/>
      <c r="W48" s="139"/>
      <c r="X48" s="139"/>
      <c r="Y48" s="139"/>
      <c r="Z48" s="154"/>
    </row>
    <row r="49" spans="1:26" s="329" customFormat="1" ht="180" x14ac:dyDescent="0.25">
      <c r="A49" s="139"/>
      <c r="B49" s="326" t="s">
        <v>131</v>
      </c>
      <c r="C49" s="42" t="s">
        <v>132</v>
      </c>
      <c r="D49" s="330" t="s">
        <v>133</v>
      </c>
      <c r="E49" s="330"/>
      <c r="F49" s="42" t="s">
        <v>79</v>
      </c>
      <c r="G49" s="42" t="s">
        <v>134</v>
      </c>
      <c r="H49" s="42" t="s">
        <v>202</v>
      </c>
      <c r="I49" s="42" t="s">
        <v>135</v>
      </c>
      <c r="J49" s="42">
        <f>228.87+20.92</f>
        <v>249.79000000000002</v>
      </c>
      <c r="K49" s="332">
        <f>J49-N49</f>
        <v>91.070000000000022</v>
      </c>
      <c r="L49" s="42" t="s">
        <v>136</v>
      </c>
      <c r="M49" s="371">
        <v>0</v>
      </c>
      <c r="N49" s="372">
        <v>158.72</v>
      </c>
      <c r="O49" s="334" t="s">
        <v>130</v>
      </c>
      <c r="P49" s="334" t="s">
        <v>137</v>
      </c>
      <c r="Q49" s="139"/>
      <c r="R49" s="336">
        <f>ROUND(40532714.71/10^7,3)</f>
        <v>4.0529999999999999</v>
      </c>
      <c r="S49" s="139"/>
      <c r="T49" s="139"/>
      <c r="U49" s="317"/>
      <c r="V49" s="139"/>
      <c r="W49" s="139"/>
      <c r="X49" s="139"/>
      <c r="Y49" s="139"/>
      <c r="Z49" s="154"/>
    </row>
    <row r="50" spans="1:26" s="329" customFormat="1" ht="72" x14ac:dyDescent="0.25">
      <c r="A50" s="139"/>
      <c r="B50" s="326" t="s">
        <v>149</v>
      </c>
      <c r="C50" s="42" t="s">
        <v>150</v>
      </c>
      <c r="D50" s="330" t="s">
        <v>151</v>
      </c>
      <c r="E50" s="330"/>
      <c r="F50" s="42" t="s">
        <v>79</v>
      </c>
      <c r="G50" s="42" t="s">
        <v>152</v>
      </c>
      <c r="H50" s="42" t="s">
        <v>153</v>
      </c>
      <c r="I50" s="42" t="s">
        <v>154</v>
      </c>
      <c r="J50" s="332">
        <f>175.48+12</f>
        <v>187.48</v>
      </c>
      <c r="K50" s="332">
        <f>J50-M50</f>
        <v>19.179999999999978</v>
      </c>
      <c r="L50" s="42" t="s">
        <v>155</v>
      </c>
      <c r="M50" s="339">
        <v>168.3</v>
      </c>
      <c r="N50" s="126" t="s">
        <v>84</v>
      </c>
      <c r="O50" s="139"/>
      <c r="P50" s="139"/>
      <c r="Q50" s="139"/>
      <c r="R50" s="336">
        <f>ROUND(2995695.34/10^7,3)</f>
        <v>0.3</v>
      </c>
      <c r="S50" s="139"/>
      <c r="T50" s="139"/>
      <c r="U50" s="317"/>
      <c r="V50" s="139"/>
      <c r="W50" s="139"/>
      <c r="X50" s="139"/>
      <c r="Y50" s="139"/>
      <c r="Z50" s="154"/>
    </row>
    <row r="51" spans="1:26" s="329" customFormat="1" ht="90" x14ac:dyDescent="0.25">
      <c r="A51" s="139"/>
      <c r="B51" s="326" t="s">
        <v>138</v>
      </c>
      <c r="C51" s="42" t="s">
        <v>139</v>
      </c>
      <c r="D51" s="330" t="s">
        <v>139</v>
      </c>
      <c r="E51" s="330"/>
      <c r="F51" s="42" t="s">
        <v>79</v>
      </c>
      <c r="G51" s="349" t="s">
        <v>84</v>
      </c>
      <c r="H51" s="349" t="s">
        <v>84</v>
      </c>
      <c r="I51" s="349" t="s">
        <v>84</v>
      </c>
      <c r="J51" s="349" t="s">
        <v>84</v>
      </c>
      <c r="K51" s="349" t="s">
        <v>84</v>
      </c>
      <c r="L51" s="349" t="s">
        <v>84</v>
      </c>
      <c r="M51" s="349" t="s">
        <v>84</v>
      </c>
      <c r="N51" s="126" t="s">
        <v>84</v>
      </c>
      <c r="O51" s="334" t="s">
        <v>140</v>
      </c>
      <c r="P51" s="42" t="s">
        <v>141</v>
      </c>
      <c r="Q51" s="139"/>
      <c r="R51" s="336">
        <f>ROUND(97695.47/10^7,3)</f>
        <v>0.01</v>
      </c>
      <c r="S51" s="139"/>
      <c r="T51" s="139"/>
      <c r="U51" s="317"/>
      <c r="V51" s="139"/>
      <c r="W51" s="139"/>
      <c r="X51" s="139"/>
      <c r="Y51" s="139"/>
      <c r="Z51" s="154"/>
    </row>
    <row r="53" spans="1:26" s="328" customFormat="1" ht="324" x14ac:dyDescent="0.25">
      <c r="A53" s="326"/>
      <c r="B53" s="326" t="s">
        <v>100</v>
      </c>
      <c r="C53" s="42" t="s">
        <v>101</v>
      </c>
      <c r="D53" s="330" t="s">
        <v>209</v>
      </c>
      <c r="E53" s="330"/>
      <c r="F53" s="42" t="s">
        <v>79</v>
      </c>
      <c r="G53" s="42" t="s">
        <v>103</v>
      </c>
      <c r="H53" s="42" t="s">
        <v>104</v>
      </c>
      <c r="I53" s="42" t="s">
        <v>105</v>
      </c>
      <c r="J53" s="42">
        <f>1279.05-100.08</f>
        <v>1178.97</v>
      </c>
      <c r="K53" s="332">
        <f>J53-M53</f>
        <v>177.32000000000005</v>
      </c>
      <c r="L53" s="42" t="s">
        <v>92</v>
      </c>
      <c r="M53" s="333">
        <v>1001.65</v>
      </c>
      <c r="N53" s="126" t="s">
        <v>84</v>
      </c>
      <c r="O53" s="42" t="s">
        <v>106</v>
      </c>
      <c r="P53" s="334" t="s">
        <v>107</v>
      </c>
      <c r="Q53" s="42"/>
      <c r="R53" s="336">
        <f>ROUND(-47976696.32/10^7,3)</f>
        <v>-4.798</v>
      </c>
      <c r="S53" s="336"/>
      <c r="T53" s="373"/>
      <c r="U53" s="374"/>
      <c r="V53" s="373"/>
      <c r="X53" s="375"/>
      <c r="Y53" s="375"/>
      <c r="Z53" s="353"/>
    </row>
  </sheetData>
  <mergeCells count="33">
    <mergeCell ref="A19:C19"/>
    <mergeCell ref="A24:C24"/>
    <mergeCell ref="Q5:Q6"/>
    <mergeCell ref="K29:N29"/>
    <mergeCell ref="K27:N27"/>
    <mergeCell ref="A34:Z34"/>
    <mergeCell ref="K30:N30"/>
    <mergeCell ref="A31:C31"/>
    <mergeCell ref="A32:C32"/>
    <mergeCell ref="K28:N28"/>
    <mergeCell ref="H5:H6"/>
    <mergeCell ref="U5:U6"/>
    <mergeCell ref="D5:D6"/>
    <mergeCell ref="K5:N5"/>
    <mergeCell ref="I5:I6"/>
    <mergeCell ref="J5:J6"/>
    <mergeCell ref="E5:E6"/>
    <mergeCell ref="W35:Z35"/>
    <mergeCell ref="A1:Z1"/>
    <mergeCell ref="A3:Z3"/>
    <mergeCell ref="P5:P6"/>
    <mergeCell ref="O5:O6"/>
    <mergeCell ref="Z5:Z6"/>
    <mergeCell ref="A5:A6"/>
    <mergeCell ref="B5:B6"/>
    <mergeCell ref="C5:C6"/>
    <mergeCell ref="F5:F6"/>
    <mergeCell ref="G5:G6"/>
    <mergeCell ref="A2:Z2"/>
    <mergeCell ref="R5:T5"/>
    <mergeCell ref="V5:X5"/>
    <mergeCell ref="Y5:Y6"/>
    <mergeCell ref="E22:E23"/>
  </mergeCells>
  <printOptions horizontalCentered="1"/>
  <pageMargins left="0.59055118110236227" right="0.31496062992125984" top="0.31496062992125984" bottom="0.23622047244094491" header="0.15748031496062992" footer="0.15748031496062992"/>
  <pageSetup paperSize="5" scale="39" orientation="landscape" r:id="rId1"/>
  <rowBreaks count="3" manualBreakCount="3">
    <brk id="12" max="25" man="1"/>
    <brk id="19" max="25" man="1"/>
    <brk id="35" max="25"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A15"/>
  <sheetViews>
    <sheetView view="pageBreakPreview" zoomScale="70" zoomScaleNormal="70" zoomScaleSheetLayoutView="70" workbookViewId="0">
      <pane xSplit="13" ySplit="8" topLeftCell="N11" activePane="bottomRight" state="frozen"/>
      <selection pane="topRight" activeCell="N1" sqref="N1"/>
      <selection pane="bottomLeft" activeCell="A9" sqref="A9"/>
      <selection pane="bottomRight" activeCell="R11" sqref="R11"/>
    </sheetView>
  </sheetViews>
  <sheetFormatPr defaultRowHeight="15.75" x14ac:dyDescent="0.25"/>
  <cols>
    <col min="1" max="1" width="6.28515625" style="1" customWidth="1"/>
    <col min="2" max="2" width="11.140625" style="1" customWidth="1"/>
    <col min="3" max="3" width="18.140625" style="1" customWidth="1"/>
    <col min="4" max="4" width="26.85546875" style="1" customWidth="1"/>
    <col min="5" max="5" width="12.140625" style="1" customWidth="1"/>
    <col min="6" max="6" width="15" style="1" customWidth="1"/>
    <col min="7" max="7" width="16.28515625" style="1" customWidth="1"/>
    <col min="8" max="8" width="13.140625" style="1" customWidth="1"/>
    <col min="9" max="9" width="12.85546875" style="1" customWidth="1"/>
    <col min="10" max="10" width="11.5703125" style="1" customWidth="1"/>
    <col min="11" max="11" width="9.140625" style="1"/>
    <col min="12" max="12" width="11" style="1" customWidth="1"/>
    <col min="13" max="13" width="9.140625" style="1"/>
    <col min="14" max="14" width="11.140625" style="1" customWidth="1"/>
    <col min="15" max="15" width="10.28515625" style="1" customWidth="1"/>
    <col min="16" max="16" width="14.42578125" style="1" customWidth="1"/>
    <col min="17" max="17" width="13.140625" style="1" customWidth="1"/>
    <col min="18" max="18" width="14.42578125" style="263" customWidth="1"/>
    <col min="19" max="19" width="14" style="1" customWidth="1"/>
    <col min="20" max="20" width="10.28515625" style="1" customWidth="1"/>
    <col min="21" max="21" width="11.85546875" style="1" customWidth="1"/>
    <col min="22" max="22" width="9.140625" style="1"/>
    <col min="23" max="23" width="14.85546875" style="1" customWidth="1"/>
    <col min="24" max="16384" width="9.140625" style="1"/>
  </cols>
  <sheetData>
    <row r="1" spans="1:27" ht="24.75" customHeight="1" x14ac:dyDescent="0.25">
      <c r="A1" s="446" t="s">
        <v>47</v>
      </c>
      <c r="B1" s="446"/>
      <c r="C1" s="446"/>
      <c r="D1" s="446"/>
      <c r="E1" s="446"/>
      <c r="F1" s="446"/>
      <c r="G1" s="446"/>
      <c r="H1" s="446"/>
      <c r="I1" s="446"/>
      <c r="J1" s="446"/>
      <c r="K1" s="446"/>
      <c r="L1" s="446"/>
      <c r="M1" s="446"/>
      <c r="N1" s="446"/>
      <c r="O1" s="446"/>
      <c r="P1" s="446"/>
      <c r="Q1" s="446"/>
      <c r="R1" s="446"/>
      <c r="S1" s="446"/>
      <c r="T1" s="446"/>
      <c r="U1" s="446"/>
    </row>
    <row r="2" spans="1:27" ht="21.75" customHeight="1" x14ac:dyDescent="0.25">
      <c r="A2" s="446" t="s">
        <v>56</v>
      </c>
      <c r="B2" s="446"/>
      <c r="C2" s="446"/>
      <c r="D2" s="446"/>
      <c r="E2" s="446"/>
      <c r="F2" s="446"/>
      <c r="G2" s="446"/>
      <c r="H2" s="446"/>
      <c r="I2" s="446"/>
      <c r="J2" s="446"/>
      <c r="K2" s="446"/>
      <c r="L2" s="446"/>
      <c r="M2" s="446"/>
      <c r="N2" s="446"/>
      <c r="O2" s="446"/>
      <c r="P2" s="446"/>
      <c r="Q2" s="446"/>
      <c r="R2" s="446"/>
      <c r="S2" s="446"/>
      <c r="T2" s="446"/>
      <c r="U2" s="446"/>
    </row>
    <row r="3" spans="1:27" ht="21.75" customHeight="1" x14ac:dyDescent="0.25">
      <c r="A3" s="447" t="s">
        <v>57</v>
      </c>
      <c r="B3" s="447"/>
      <c r="C3" s="447"/>
      <c r="D3" s="447"/>
      <c r="E3" s="447"/>
      <c r="F3" s="447"/>
      <c r="G3" s="447"/>
      <c r="H3" s="447"/>
      <c r="I3" s="447"/>
      <c r="J3" s="447"/>
      <c r="K3" s="447"/>
      <c r="L3" s="447"/>
      <c r="M3" s="447"/>
      <c r="N3" s="447"/>
      <c r="O3" s="447"/>
      <c r="P3" s="447"/>
      <c r="Q3" s="447"/>
      <c r="R3" s="447"/>
      <c r="S3" s="447"/>
      <c r="T3" s="447"/>
      <c r="U3" s="447"/>
    </row>
    <row r="4" spans="1:27" ht="19.5" x14ac:dyDescent="0.25">
      <c r="A4" s="72" t="s">
        <v>226</v>
      </c>
      <c r="S4" s="34" t="s">
        <v>17</v>
      </c>
    </row>
    <row r="5" spans="1:27" ht="3" customHeight="1" x14ac:dyDescent="0.25">
      <c r="A5" s="2"/>
      <c r="B5" s="2"/>
      <c r="C5" s="2"/>
      <c r="D5" s="2"/>
      <c r="E5" s="2"/>
      <c r="F5" s="2"/>
      <c r="G5" s="2"/>
      <c r="H5" s="2"/>
      <c r="I5" s="2"/>
      <c r="J5" s="2"/>
      <c r="K5" s="2"/>
      <c r="L5" s="2"/>
      <c r="M5" s="2"/>
      <c r="N5" s="2"/>
      <c r="O5" s="2"/>
      <c r="P5" s="2"/>
      <c r="R5" s="264"/>
      <c r="S5" s="4"/>
      <c r="T5" s="4"/>
      <c r="U5" s="3"/>
    </row>
    <row r="6" spans="1:27" ht="69" customHeight="1" x14ac:dyDescent="0.25">
      <c r="A6" s="440" t="s">
        <v>20</v>
      </c>
      <c r="B6" s="441" t="s">
        <v>50</v>
      </c>
      <c r="C6" s="441" t="s">
        <v>23</v>
      </c>
      <c r="D6" s="441" t="s">
        <v>174</v>
      </c>
      <c r="E6" s="441" t="s">
        <v>24</v>
      </c>
      <c r="F6" s="441" t="s">
        <v>25</v>
      </c>
      <c r="G6" s="441" t="s">
        <v>214</v>
      </c>
      <c r="H6" s="441" t="s">
        <v>26</v>
      </c>
      <c r="I6" s="441" t="s">
        <v>36</v>
      </c>
      <c r="J6" s="440" t="s">
        <v>27</v>
      </c>
      <c r="K6" s="440"/>
      <c r="L6" s="440"/>
      <c r="M6" s="440"/>
      <c r="N6" s="441" t="s">
        <v>60</v>
      </c>
      <c r="O6" s="441" t="s">
        <v>61</v>
      </c>
      <c r="P6" s="441" t="s">
        <v>6</v>
      </c>
      <c r="Q6" s="441" t="s">
        <v>28</v>
      </c>
      <c r="R6" s="448" t="s">
        <v>33</v>
      </c>
      <c r="S6" s="441" t="s">
        <v>29</v>
      </c>
      <c r="T6" s="441" t="s">
        <v>22</v>
      </c>
      <c r="U6" s="441" t="s">
        <v>35</v>
      </c>
    </row>
    <row r="7" spans="1:27" ht="42.75" customHeight="1" x14ac:dyDescent="0.25">
      <c r="A7" s="440"/>
      <c r="B7" s="442"/>
      <c r="C7" s="442"/>
      <c r="D7" s="442"/>
      <c r="E7" s="442"/>
      <c r="F7" s="442"/>
      <c r="G7" s="442"/>
      <c r="H7" s="442"/>
      <c r="I7" s="442"/>
      <c r="J7" s="33" t="s">
        <v>51</v>
      </c>
      <c r="K7" s="33" t="s">
        <v>21</v>
      </c>
      <c r="L7" s="33" t="s">
        <v>18</v>
      </c>
      <c r="M7" s="33" t="s">
        <v>15</v>
      </c>
      <c r="N7" s="442"/>
      <c r="O7" s="442"/>
      <c r="P7" s="442"/>
      <c r="Q7" s="442"/>
      <c r="R7" s="449"/>
      <c r="S7" s="442"/>
      <c r="T7" s="442"/>
      <c r="U7" s="442"/>
    </row>
    <row r="8" spans="1:27" s="54" customFormat="1" ht="16.5" x14ac:dyDescent="0.25">
      <c r="A8" s="53">
        <v>1</v>
      </c>
      <c r="B8" s="53">
        <v>2</v>
      </c>
      <c r="C8" s="53">
        <v>3</v>
      </c>
      <c r="D8" s="53">
        <v>4</v>
      </c>
      <c r="E8" s="53">
        <v>5</v>
      </c>
      <c r="F8" s="53">
        <v>6</v>
      </c>
      <c r="G8" s="53">
        <v>7</v>
      </c>
      <c r="H8" s="53">
        <v>8</v>
      </c>
      <c r="I8" s="53">
        <v>9</v>
      </c>
      <c r="J8" s="53">
        <v>10</v>
      </c>
      <c r="K8" s="53">
        <v>11</v>
      </c>
      <c r="L8" s="53">
        <v>12</v>
      </c>
      <c r="M8" s="53">
        <v>13</v>
      </c>
      <c r="N8" s="53">
        <v>14</v>
      </c>
      <c r="O8" s="53">
        <v>15</v>
      </c>
      <c r="P8" s="53">
        <v>16</v>
      </c>
      <c r="Q8" s="53">
        <v>17</v>
      </c>
      <c r="R8" s="265">
        <v>18</v>
      </c>
      <c r="S8" s="53">
        <v>19</v>
      </c>
      <c r="T8" s="53">
        <v>20</v>
      </c>
      <c r="U8" s="53">
        <v>21</v>
      </c>
    </row>
    <row r="9" spans="1:27" s="66" customFormat="1" ht="144" x14ac:dyDescent="0.25">
      <c r="A9" s="41">
        <v>1</v>
      </c>
      <c r="B9" s="41" t="s">
        <v>205</v>
      </c>
      <c r="C9" s="42" t="s">
        <v>206</v>
      </c>
      <c r="D9" s="39" t="s">
        <v>223</v>
      </c>
      <c r="E9" s="46" t="s">
        <v>168</v>
      </c>
      <c r="F9" s="46" t="s">
        <v>208</v>
      </c>
      <c r="G9" s="43" t="s">
        <v>120</v>
      </c>
      <c r="H9" s="62" t="s">
        <v>84</v>
      </c>
      <c r="I9" s="62" t="s">
        <v>84</v>
      </c>
      <c r="J9" s="63" t="s">
        <v>215</v>
      </c>
      <c r="K9" s="62"/>
      <c r="L9" s="62"/>
      <c r="M9" s="62"/>
      <c r="N9" s="64" t="s">
        <v>216</v>
      </c>
      <c r="O9" s="46" t="s">
        <v>217</v>
      </c>
      <c r="P9" s="58" t="s">
        <v>218</v>
      </c>
      <c r="Q9" s="65">
        <v>0</v>
      </c>
      <c r="R9" s="287">
        <f>ROUND(992354.01/10^7,3)</f>
        <v>9.9000000000000005E-2</v>
      </c>
      <c r="S9" s="62">
        <f>109.18+0.01+R9</f>
        <v>109.28900000000002</v>
      </c>
      <c r="T9" s="188">
        <f>(109.18+0.01+0.099)/S9</f>
        <v>1</v>
      </c>
      <c r="U9" s="62" t="s">
        <v>84</v>
      </c>
      <c r="W9" s="67"/>
      <c r="AA9" s="68" t="s">
        <v>84</v>
      </c>
    </row>
    <row r="10" spans="1:27" s="66" customFormat="1" ht="409.5" x14ac:dyDescent="0.25">
      <c r="A10" s="41">
        <v>2</v>
      </c>
      <c r="B10" s="41" t="s">
        <v>193</v>
      </c>
      <c r="C10" s="39" t="s">
        <v>219</v>
      </c>
      <c r="D10" s="39" t="s">
        <v>224</v>
      </c>
      <c r="E10" s="46" t="s">
        <v>220</v>
      </c>
      <c r="F10" s="46" t="s">
        <v>196</v>
      </c>
      <c r="G10" s="43" t="s">
        <v>120</v>
      </c>
      <c r="H10" s="62" t="s">
        <v>84</v>
      </c>
      <c r="I10" s="62" t="s">
        <v>84</v>
      </c>
      <c r="J10" s="69" t="s">
        <v>215</v>
      </c>
      <c r="K10" s="70"/>
      <c r="L10" s="70"/>
      <c r="M10" s="70"/>
      <c r="N10" s="64" t="s">
        <v>122</v>
      </c>
      <c r="O10" s="46" t="s">
        <v>221</v>
      </c>
      <c r="P10" s="58" t="s">
        <v>222</v>
      </c>
      <c r="Q10" s="71">
        <f>ROUND(586876615.56/10^7,3)</f>
        <v>58.688000000000002</v>
      </c>
      <c r="R10" s="287">
        <v>-0.27</v>
      </c>
      <c r="S10" s="62">
        <f>99.07+164.65+Q10+R10</f>
        <v>322.13800000000003</v>
      </c>
      <c r="T10" s="187">
        <f>(99.07+164.65+45.254)/S10</f>
        <v>0.95913552576845951</v>
      </c>
      <c r="U10" s="62" t="s">
        <v>84</v>
      </c>
      <c r="W10" s="67"/>
      <c r="AA10" s="68" t="s">
        <v>84</v>
      </c>
    </row>
    <row r="11" spans="1:27" s="6" customFormat="1" ht="30" customHeight="1" x14ac:dyDescent="0.25">
      <c r="A11" s="443" t="s">
        <v>228</v>
      </c>
      <c r="B11" s="444"/>
      <c r="C11" s="445"/>
      <c r="D11" s="31"/>
      <c r="E11" s="31"/>
      <c r="F11" s="31"/>
      <c r="G11" s="31"/>
      <c r="H11" s="31"/>
      <c r="I11" s="35"/>
      <c r="J11" s="35"/>
      <c r="K11" s="56"/>
      <c r="L11" s="56"/>
      <c r="M11" s="57"/>
      <c r="N11" s="57"/>
      <c r="O11" s="31"/>
      <c r="P11" s="38"/>
      <c r="Q11" s="38">
        <f>SUM(Q9:Q10)</f>
        <v>58.688000000000002</v>
      </c>
      <c r="R11" s="269">
        <f>SUM(R9:R10)</f>
        <v>-0.17100000000000001</v>
      </c>
      <c r="S11" s="38">
        <f>SUM(S9:S10)</f>
        <v>431.42700000000002</v>
      </c>
      <c r="T11" s="31"/>
      <c r="U11" s="31"/>
    </row>
    <row r="12" spans="1:27" ht="55.5" customHeight="1" x14ac:dyDescent="0.25"/>
    <row r="13" spans="1:27" ht="29.25" customHeight="1" x14ac:dyDescent="0.25">
      <c r="Q13" s="1" t="s">
        <v>210</v>
      </c>
    </row>
    <row r="14" spans="1:27" x14ac:dyDescent="0.25">
      <c r="A14" s="1" t="s">
        <v>44</v>
      </c>
    </row>
    <row r="15" spans="1:27" x14ac:dyDescent="0.25">
      <c r="A15" s="1" t="s">
        <v>55</v>
      </c>
    </row>
  </sheetData>
  <mergeCells count="22">
    <mergeCell ref="A11:C11"/>
    <mergeCell ref="F6:F7"/>
    <mergeCell ref="E6:E7"/>
    <mergeCell ref="A1:U1"/>
    <mergeCell ref="J6:M6"/>
    <mergeCell ref="P6:P7"/>
    <mergeCell ref="A3:U3"/>
    <mergeCell ref="U6:U7"/>
    <mergeCell ref="I6:I7"/>
    <mergeCell ref="B6:B7"/>
    <mergeCell ref="S6:S7"/>
    <mergeCell ref="T6:T7"/>
    <mergeCell ref="R6:R7"/>
    <mergeCell ref="A2:U2"/>
    <mergeCell ref="C6:C7"/>
    <mergeCell ref="H6:H7"/>
    <mergeCell ref="A6:A7"/>
    <mergeCell ref="Q6:Q7"/>
    <mergeCell ref="G6:G7"/>
    <mergeCell ref="D6:D7"/>
    <mergeCell ref="N6:N7"/>
    <mergeCell ref="O6:O7"/>
  </mergeCells>
  <printOptions horizontalCentered="1"/>
  <pageMargins left="0.5" right="0.5" top="0.5" bottom="0.25" header="0.15" footer="0.15"/>
  <pageSetup paperSize="5"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
  <sheetViews>
    <sheetView view="pageBreakPreview" zoomScale="47" zoomScaleNormal="70" zoomScaleSheetLayoutView="47" workbookViewId="0">
      <pane xSplit="19" ySplit="9" topLeftCell="T13" activePane="bottomRight" state="frozen"/>
      <selection pane="topRight" activeCell="T1" sqref="T1"/>
      <selection pane="bottomLeft" activeCell="A10" sqref="A10"/>
      <selection pane="bottomRight" activeCell="V4" sqref="V1:V1048576"/>
    </sheetView>
  </sheetViews>
  <sheetFormatPr defaultRowHeight="19.5" x14ac:dyDescent="0.3"/>
  <cols>
    <col min="1" max="1" width="9.28515625" style="117" bestFit="1" customWidth="1"/>
    <col min="2" max="2" width="9.85546875" style="117" bestFit="1" customWidth="1"/>
    <col min="3" max="3" width="12.85546875" style="117" customWidth="1"/>
    <col min="4" max="4" width="14" style="117" customWidth="1"/>
    <col min="5" max="5" width="25.140625" style="117" customWidth="1"/>
    <col min="6" max="6" width="12.42578125" style="117" customWidth="1"/>
    <col min="7" max="7" width="16.42578125" style="117" customWidth="1"/>
    <col min="8" max="8" width="16.28515625" style="117" customWidth="1"/>
    <col min="9" max="9" width="11.85546875" style="117" customWidth="1"/>
    <col min="10" max="10" width="6.7109375" style="117" customWidth="1"/>
    <col min="11" max="11" width="9" style="117" customWidth="1"/>
    <col min="12" max="12" width="6.7109375" style="117" customWidth="1"/>
    <col min="13" max="13" width="9" style="117" customWidth="1"/>
    <col min="14" max="14" width="6.7109375" style="117" customWidth="1"/>
    <col min="15" max="15" width="11" style="117" customWidth="1"/>
    <col min="16" max="19" width="6.7109375" style="117" customWidth="1"/>
    <col min="20" max="20" width="23.42578125" style="118" customWidth="1"/>
    <col min="21" max="21" width="14.140625" style="118" customWidth="1"/>
    <col min="22" max="22" width="13.7109375" style="283" customWidth="1"/>
    <col min="23" max="23" width="17.42578125" style="117" customWidth="1"/>
    <col min="24" max="27" width="6.7109375" style="117" customWidth="1"/>
    <col min="28" max="28" width="16.85546875" style="117" customWidth="1"/>
    <col min="29" max="29" width="17" style="117" customWidth="1"/>
    <col min="30" max="30" width="13.7109375" style="117" customWidth="1"/>
    <col min="31" max="16384" width="9.140625" style="117"/>
  </cols>
  <sheetData>
    <row r="1" spans="1:30" s="84" customFormat="1" ht="27" customHeight="1" x14ac:dyDescent="0.25">
      <c r="A1" s="380" t="s">
        <v>47</v>
      </c>
      <c r="B1" s="380"/>
      <c r="C1" s="380"/>
      <c r="D1" s="380"/>
      <c r="E1" s="380"/>
      <c r="F1" s="380"/>
      <c r="G1" s="380"/>
      <c r="H1" s="380"/>
      <c r="I1" s="380"/>
      <c r="J1" s="380"/>
      <c r="K1" s="380"/>
      <c r="L1" s="380"/>
      <c r="M1" s="380"/>
      <c r="N1" s="380"/>
      <c r="O1" s="380"/>
      <c r="P1" s="380"/>
      <c r="Q1" s="380"/>
      <c r="R1" s="380"/>
      <c r="S1" s="380"/>
      <c r="T1" s="380"/>
      <c r="U1" s="380"/>
      <c r="V1" s="380"/>
      <c r="W1" s="380"/>
      <c r="X1" s="380"/>
      <c r="Y1" s="380"/>
      <c r="Z1" s="380"/>
      <c r="AA1" s="380"/>
      <c r="AB1" s="380"/>
      <c r="AC1" s="380"/>
      <c r="AD1" s="380"/>
    </row>
    <row r="2" spans="1:30" s="84" customFormat="1" ht="27" customHeight="1" x14ac:dyDescent="0.25">
      <c r="A2" s="380" t="s">
        <v>56</v>
      </c>
      <c r="B2" s="380"/>
      <c r="C2" s="380"/>
      <c r="D2" s="380"/>
      <c r="E2" s="380"/>
      <c r="F2" s="380"/>
      <c r="G2" s="380"/>
      <c r="H2" s="380"/>
      <c r="I2" s="380"/>
      <c r="J2" s="380"/>
      <c r="K2" s="380"/>
      <c r="L2" s="380"/>
      <c r="M2" s="380"/>
      <c r="N2" s="380"/>
      <c r="O2" s="380"/>
      <c r="P2" s="380"/>
      <c r="Q2" s="380"/>
      <c r="R2" s="380"/>
      <c r="S2" s="380"/>
      <c r="T2" s="380"/>
      <c r="U2" s="380"/>
      <c r="V2" s="380"/>
      <c r="W2" s="380"/>
      <c r="X2" s="380"/>
      <c r="Y2" s="380"/>
      <c r="Z2" s="380"/>
      <c r="AA2" s="380"/>
      <c r="AB2" s="380"/>
      <c r="AC2" s="380"/>
      <c r="AD2" s="380"/>
    </row>
    <row r="3" spans="1:30" s="84" customFormat="1" ht="23.25" customHeight="1" x14ac:dyDescent="0.25">
      <c r="A3" s="397" t="s">
        <v>59</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row>
    <row r="4" spans="1:30" s="84" customFormat="1" ht="27" customHeight="1" x14ac:dyDescent="0.25">
      <c r="A4" s="85" t="s">
        <v>192</v>
      </c>
      <c r="B4" s="86"/>
      <c r="C4" s="86"/>
      <c r="D4" s="86"/>
      <c r="E4" s="86"/>
      <c r="F4" s="87"/>
      <c r="G4" s="87"/>
      <c r="H4" s="87"/>
      <c r="I4" s="87"/>
      <c r="J4" s="87"/>
      <c r="K4" s="87"/>
      <c r="L4" s="87"/>
      <c r="M4" s="87"/>
      <c r="N4" s="87"/>
      <c r="O4" s="87"/>
      <c r="P4" s="87"/>
      <c r="Q4" s="87"/>
      <c r="R4" s="87"/>
      <c r="S4" s="87"/>
      <c r="T4" s="88"/>
      <c r="U4" s="88"/>
      <c r="V4" s="274"/>
      <c r="W4" s="89"/>
      <c r="X4" s="90"/>
      <c r="Y4" s="487"/>
      <c r="Z4" s="487"/>
      <c r="AA4" s="91"/>
      <c r="AB4" s="488" t="s">
        <v>7</v>
      </c>
      <c r="AC4" s="488"/>
      <c r="AD4" s="488"/>
    </row>
    <row r="5" spans="1:30" s="84" customFormat="1" ht="46.5" customHeight="1" x14ac:dyDescent="0.25">
      <c r="A5" s="86"/>
      <c r="B5" s="86"/>
      <c r="C5" s="86"/>
      <c r="D5" s="86"/>
      <c r="E5" s="86"/>
      <c r="F5" s="87"/>
      <c r="G5" s="87"/>
      <c r="H5" s="87"/>
      <c r="I5" s="87"/>
      <c r="J5" s="400" t="s">
        <v>40</v>
      </c>
      <c r="K5" s="400"/>
      <c r="L5" s="400"/>
      <c r="M5" s="400"/>
      <c r="N5" s="400"/>
      <c r="O5" s="87"/>
      <c r="P5" s="400" t="s">
        <v>39</v>
      </c>
      <c r="Q5" s="400"/>
      <c r="R5" s="400"/>
      <c r="S5" s="400"/>
      <c r="T5" s="88"/>
      <c r="U5" s="88"/>
      <c r="V5" s="274"/>
      <c r="W5" s="92"/>
      <c r="X5" s="391" t="s">
        <v>45</v>
      </c>
      <c r="Y5" s="391"/>
      <c r="Z5" s="391"/>
      <c r="AA5" s="391"/>
      <c r="AB5" s="88"/>
      <c r="AC5" s="88"/>
    </row>
    <row r="6" spans="1:30" s="84" customFormat="1" ht="90.75" customHeight="1" x14ac:dyDescent="0.25">
      <c r="A6" s="398" t="s">
        <v>20</v>
      </c>
      <c r="B6" s="484" t="s">
        <v>5</v>
      </c>
      <c r="C6" s="398" t="s">
        <v>30</v>
      </c>
      <c r="D6" s="398" t="s">
        <v>23</v>
      </c>
      <c r="E6" s="415" t="s">
        <v>62</v>
      </c>
      <c r="F6" s="391" t="s">
        <v>16</v>
      </c>
      <c r="G6" s="391" t="s">
        <v>207</v>
      </c>
      <c r="H6" s="400" t="s">
        <v>48</v>
      </c>
      <c r="I6" s="393" t="s">
        <v>41</v>
      </c>
      <c r="J6" s="391" t="s">
        <v>8</v>
      </c>
      <c r="K6" s="391"/>
      <c r="L6" s="391" t="s">
        <v>9</v>
      </c>
      <c r="M6" s="391"/>
      <c r="N6" s="393" t="s">
        <v>12</v>
      </c>
      <c r="O6" s="393" t="s">
        <v>10</v>
      </c>
      <c r="P6" s="393" t="s">
        <v>38</v>
      </c>
      <c r="Q6" s="392" t="s">
        <v>11</v>
      </c>
      <c r="R6" s="392" t="s">
        <v>18</v>
      </c>
      <c r="S6" s="392" t="s">
        <v>15</v>
      </c>
      <c r="T6" s="391" t="s">
        <v>49</v>
      </c>
      <c r="U6" s="400" t="s">
        <v>272</v>
      </c>
      <c r="V6" s="412" t="s">
        <v>19</v>
      </c>
      <c r="W6" s="414" t="s">
        <v>231</v>
      </c>
      <c r="X6" s="392" t="s">
        <v>312</v>
      </c>
      <c r="Y6" s="392" t="s">
        <v>3</v>
      </c>
      <c r="Z6" s="392" t="s">
        <v>311</v>
      </c>
      <c r="AA6" s="392" t="s">
        <v>310</v>
      </c>
      <c r="AB6" s="391" t="s">
        <v>42</v>
      </c>
      <c r="AC6" s="391" t="s">
        <v>43</v>
      </c>
      <c r="AD6" s="399" t="s">
        <v>46</v>
      </c>
    </row>
    <row r="7" spans="1:30" s="84" customFormat="1" ht="38.25" customHeight="1" x14ac:dyDescent="0.25">
      <c r="A7" s="398"/>
      <c r="B7" s="485"/>
      <c r="C7" s="398"/>
      <c r="D7" s="398"/>
      <c r="E7" s="416"/>
      <c r="F7" s="391"/>
      <c r="G7" s="391"/>
      <c r="H7" s="401"/>
      <c r="I7" s="394"/>
      <c r="J7" s="392" t="s">
        <v>13</v>
      </c>
      <c r="K7" s="392" t="s">
        <v>14</v>
      </c>
      <c r="L7" s="392" t="s">
        <v>13</v>
      </c>
      <c r="M7" s="392" t="s">
        <v>14</v>
      </c>
      <c r="N7" s="394"/>
      <c r="O7" s="394"/>
      <c r="P7" s="394"/>
      <c r="Q7" s="392"/>
      <c r="R7" s="392"/>
      <c r="S7" s="392"/>
      <c r="T7" s="391"/>
      <c r="U7" s="401"/>
      <c r="V7" s="412"/>
      <c r="W7" s="414"/>
      <c r="X7" s="392"/>
      <c r="Y7" s="392"/>
      <c r="Z7" s="392"/>
      <c r="AA7" s="392"/>
      <c r="AB7" s="391"/>
      <c r="AC7" s="391"/>
      <c r="AD7" s="399"/>
    </row>
    <row r="8" spans="1:30" s="84" customFormat="1" ht="33.75" customHeight="1" x14ac:dyDescent="0.25">
      <c r="A8" s="398"/>
      <c r="B8" s="486"/>
      <c r="C8" s="398"/>
      <c r="D8" s="398"/>
      <c r="E8" s="417"/>
      <c r="F8" s="391"/>
      <c r="G8" s="391"/>
      <c r="H8" s="402"/>
      <c r="I8" s="395"/>
      <c r="J8" s="392"/>
      <c r="K8" s="392"/>
      <c r="L8" s="392"/>
      <c r="M8" s="392"/>
      <c r="N8" s="395"/>
      <c r="O8" s="395"/>
      <c r="P8" s="395"/>
      <c r="Q8" s="392"/>
      <c r="R8" s="392"/>
      <c r="S8" s="392"/>
      <c r="T8" s="391"/>
      <c r="U8" s="402"/>
      <c r="V8" s="412"/>
      <c r="W8" s="414"/>
      <c r="X8" s="392"/>
      <c r="Y8" s="392"/>
      <c r="Z8" s="392"/>
      <c r="AA8" s="392"/>
      <c r="AB8" s="391"/>
      <c r="AC8" s="391"/>
      <c r="AD8" s="399"/>
    </row>
    <row r="9" spans="1:30" s="84" customFormat="1" ht="24.75" customHeight="1" x14ac:dyDescent="0.25">
      <c r="A9" s="93">
        <v>1</v>
      </c>
      <c r="B9" s="93">
        <v>2</v>
      </c>
      <c r="C9" s="93">
        <v>3</v>
      </c>
      <c r="D9" s="93">
        <v>4</v>
      </c>
      <c r="E9" s="93">
        <v>5</v>
      </c>
      <c r="F9" s="93">
        <v>6</v>
      </c>
      <c r="G9" s="93">
        <v>7</v>
      </c>
      <c r="H9" s="93">
        <v>8</v>
      </c>
      <c r="I9" s="93">
        <v>9</v>
      </c>
      <c r="J9" s="93">
        <v>10</v>
      </c>
      <c r="K9" s="93">
        <v>11</v>
      </c>
      <c r="L9" s="93">
        <v>12</v>
      </c>
      <c r="M9" s="93">
        <v>13</v>
      </c>
      <c r="N9" s="93">
        <v>14</v>
      </c>
      <c r="O9" s="93">
        <v>15</v>
      </c>
      <c r="P9" s="93">
        <v>16</v>
      </c>
      <c r="Q9" s="93">
        <v>17</v>
      </c>
      <c r="R9" s="93">
        <v>18</v>
      </c>
      <c r="S9" s="93">
        <v>19</v>
      </c>
      <c r="T9" s="93">
        <v>20</v>
      </c>
      <c r="U9" s="93">
        <v>21</v>
      </c>
      <c r="V9" s="275">
        <v>22</v>
      </c>
      <c r="W9" s="93">
        <v>23</v>
      </c>
      <c r="X9" s="93">
        <v>24</v>
      </c>
      <c r="Y9" s="93">
        <v>25</v>
      </c>
      <c r="Z9" s="93">
        <v>26</v>
      </c>
      <c r="AA9" s="93">
        <v>27</v>
      </c>
      <c r="AB9" s="93">
        <v>28</v>
      </c>
      <c r="AC9" s="93">
        <v>29</v>
      </c>
      <c r="AD9" s="93">
        <v>30</v>
      </c>
    </row>
    <row r="10" spans="1:30" s="84" customFormat="1" ht="36" customHeight="1" x14ac:dyDescent="0.25">
      <c r="A10" s="243" t="s">
        <v>63</v>
      </c>
      <c r="B10" s="93"/>
      <c r="C10" s="93"/>
      <c r="D10" s="93"/>
      <c r="E10" s="242"/>
      <c r="F10" s="93"/>
      <c r="G10" s="93"/>
      <c r="H10" s="93"/>
      <c r="I10" s="93"/>
      <c r="J10" s="93"/>
      <c r="K10" s="93"/>
      <c r="L10" s="93"/>
      <c r="M10" s="93"/>
      <c r="N10" s="93"/>
      <c r="O10" s="248"/>
      <c r="P10" s="249"/>
      <c r="Q10" s="249"/>
      <c r="R10" s="250"/>
      <c r="S10" s="93"/>
      <c r="T10" s="93"/>
      <c r="U10" s="93"/>
      <c r="V10" s="275"/>
      <c r="W10" s="93"/>
      <c r="X10" s="93"/>
      <c r="Y10" s="93"/>
      <c r="Z10" s="93"/>
      <c r="AA10" s="93"/>
      <c r="AB10" s="93"/>
      <c r="AC10" s="93"/>
      <c r="AD10" s="93"/>
    </row>
    <row r="11" spans="1:30" s="105" customFormat="1" ht="98.25" customHeight="1" x14ac:dyDescent="0.25">
      <c r="A11" s="93">
        <v>1</v>
      </c>
      <c r="B11" s="93" t="s">
        <v>175</v>
      </c>
      <c r="C11" s="94" t="s">
        <v>205</v>
      </c>
      <c r="D11" s="95" t="s">
        <v>206</v>
      </c>
      <c r="E11" s="236" t="s">
        <v>206</v>
      </c>
      <c r="F11" s="97" t="s">
        <v>195</v>
      </c>
      <c r="G11" s="97" t="s">
        <v>208</v>
      </c>
      <c r="H11" s="98" t="s">
        <v>120</v>
      </c>
      <c r="I11" s="97" t="s">
        <v>197</v>
      </c>
      <c r="J11" s="196" t="s">
        <v>84</v>
      </c>
      <c r="K11" s="64" t="s">
        <v>216</v>
      </c>
      <c r="L11" s="196" t="s">
        <v>84</v>
      </c>
      <c r="M11" s="46" t="s">
        <v>217</v>
      </c>
      <c r="N11" s="241" t="s">
        <v>308</v>
      </c>
      <c r="O11" s="409" t="s">
        <v>273</v>
      </c>
      <c r="P11" s="410"/>
      <c r="Q11" s="410"/>
      <c r="R11" s="411"/>
      <c r="S11" s="99" t="s">
        <v>84</v>
      </c>
      <c r="T11" s="197">
        <f>109.18+0.01</f>
        <v>109.19000000000001</v>
      </c>
      <c r="U11" s="102">
        <f>ROUND(992354.01/10^7,3)</f>
        <v>9.9000000000000005E-2</v>
      </c>
      <c r="V11" s="277">
        <f>ROUND(992354.01/10^7,3)</f>
        <v>9.9000000000000005E-2</v>
      </c>
      <c r="W11" s="104" t="s">
        <v>181</v>
      </c>
      <c r="X11" s="99" t="s">
        <v>84</v>
      </c>
      <c r="Y11" s="99" t="s">
        <v>84</v>
      </c>
      <c r="Z11" s="99" t="s">
        <v>84</v>
      </c>
      <c r="AA11" s="99" t="s">
        <v>84</v>
      </c>
      <c r="AB11" s="93">
        <v>2019000432</v>
      </c>
      <c r="AC11" s="104">
        <v>202000780</v>
      </c>
      <c r="AD11" s="94"/>
    </row>
    <row r="12" spans="1:30" s="105" customFormat="1" ht="277.5" customHeight="1" x14ac:dyDescent="0.25">
      <c r="A12" s="400">
        <v>2</v>
      </c>
      <c r="B12" s="400" t="s">
        <v>175</v>
      </c>
      <c r="C12" s="450" t="s">
        <v>193</v>
      </c>
      <c r="D12" s="480" t="s">
        <v>194</v>
      </c>
      <c r="E12" s="238" t="s">
        <v>299</v>
      </c>
      <c r="F12" s="482" t="s">
        <v>220</v>
      </c>
      <c r="G12" s="474" t="s">
        <v>196</v>
      </c>
      <c r="H12" s="476" t="s">
        <v>120</v>
      </c>
      <c r="I12" s="474" t="s">
        <v>197</v>
      </c>
      <c r="J12" s="468" t="s">
        <v>84</v>
      </c>
      <c r="K12" s="478" t="s">
        <v>122</v>
      </c>
      <c r="L12" s="468" t="s">
        <v>84</v>
      </c>
      <c r="M12" s="470" t="s">
        <v>221</v>
      </c>
      <c r="N12" s="472" t="s">
        <v>309</v>
      </c>
      <c r="O12" s="452" t="s">
        <v>273</v>
      </c>
      <c r="P12" s="453"/>
      <c r="Q12" s="453"/>
      <c r="R12" s="454"/>
      <c r="S12" s="458" t="s">
        <v>84</v>
      </c>
      <c r="T12" s="460">
        <f>99.07+164.65</f>
        <v>263.72000000000003</v>
      </c>
      <c r="U12" s="462">
        <f>ROUND(-2700491.18/10^7,3)</f>
        <v>-0.27</v>
      </c>
      <c r="V12" s="464">
        <f>ROUND(452541727.47/10^7,3)</f>
        <v>45.253999999999998</v>
      </c>
      <c r="W12" s="466" t="s">
        <v>181</v>
      </c>
      <c r="X12" s="458" t="s">
        <v>84</v>
      </c>
      <c r="Y12" s="458" t="s">
        <v>84</v>
      </c>
      <c r="Z12" s="458" t="s">
        <v>84</v>
      </c>
      <c r="AA12" s="458" t="s">
        <v>84</v>
      </c>
      <c r="AB12" s="400" t="s">
        <v>303</v>
      </c>
      <c r="AC12" s="400" t="s">
        <v>307</v>
      </c>
      <c r="AD12" s="450"/>
    </row>
    <row r="13" spans="1:30" s="105" customFormat="1" ht="313.5" customHeight="1" x14ac:dyDescent="0.25">
      <c r="A13" s="402"/>
      <c r="B13" s="402"/>
      <c r="C13" s="451"/>
      <c r="D13" s="481"/>
      <c r="E13" s="239" t="s">
        <v>300</v>
      </c>
      <c r="F13" s="483"/>
      <c r="G13" s="475"/>
      <c r="H13" s="477"/>
      <c r="I13" s="475"/>
      <c r="J13" s="469"/>
      <c r="K13" s="479"/>
      <c r="L13" s="469"/>
      <c r="M13" s="471"/>
      <c r="N13" s="473"/>
      <c r="O13" s="455"/>
      <c r="P13" s="456"/>
      <c r="Q13" s="456"/>
      <c r="R13" s="457"/>
      <c r="S13" s="459"/>
      <c r="T13" s="461"/>
      <c r="U13" s="463"/>
      <c r="V13" s="465"/>
      <c r="W13" s="467"/>
      <c r="X13" s="459"/>
      <c r="Y13" s="459"/>
      <c r="Z13" s="459"/>
      <c r="AA13" s="459"/>
      <c r="AB13" s="402"/>
      <c r="AC13" s="402"/>
      <c r="AD13" s="451"/>
    </row>
    <row r="14" spans="1:30" s="112" customFormat="1" ht="34.5" customHeight="1" x14ac:dyDescent="0.25">
      <c r="A14" s="403" t="s">
        <v>227</v>
      </c>
      <c r="B14" s="404"/>
      <c r="C14" s="405"/>
      <c r="D14" s="110"/>
      <c r="E14" s="237"/>
      <c r="F14" s="110"/>
      <c r="G14" s="110"/>
      <c r="H14" s="110"/>
      <c r="I14" s="110"/>
      <c r="J14" s="110"/>
      <c r="K14" s="110"/>
      <c r="L14" s="110"/>
      <c r="M14" s="110"/>
      <c r="N14" s="235"/>
      <c r="O14" s="235"/>
      <c r="P14" s="205"/>
      <c r="Q14" s="205"/>
      <c r="R14" s="206"/>
      <c r="S14" s="206"/>
      <c r="T14" s="240">
        <f>SUM(T11:T13)</f>
        <v>372.91</v>
      </c>
      <c r="U14" s="240">
        <f t="shared" ref="U14:V14" si="0">SUM(U11:U13)</f>
        <v>-0.17100000000000001</v>
      </c>
      <c r="V14" s="297">
        <f t="shared" si="0"/>
        <v>45.352999999999994</v>
      </c>
      <c r="W14" s="111"/>
      <c r="X14" s="111"/>
      <c r="Y14" s="111"/>
      <c r="Z14" s="111"/>
      <c r="AA14" s="111"/>
      <c r="AB14" s="111"/>
      <c r="AC14" s="111"/>
      <c r="AD14" s="111"/>
    </row>
    <row r="15" spans="1:30" s="112" customFormat="1" ht="69.75" customHeight="1" x14ac:dyDescent="0.25">
      <c r="A15" s="113"/>
      <c r="B15" s="113"/>
      <c r="C15" s="113"/>
      <c r="D15" s="114"/>
      <c r="E15" s="114"/>
      <c r="F15" s="114"/>
      <c r="G15" s="114"/>
      <c r="H15" s="114"/>
      <c r="I15" s="114"/>
      <c r="J15" s="114"/>
      <c r="K15" s="114"/>
      <c r="L15" s="114"/>
      <c r="M15" s="114"/>
      <c r="N15" s="114"/>
      <c r="O15" s="114"/>
      <c r="P15" s="114"/>
      <c r="Q15" s="114"/>
      <c r="R15" s="114"/>
      <c r="S15" s="114"/>
      <c r="T15" s="114"/>
      <c r="U15" s="114"/>
      <c r="V15" s="280"/>
      <c r="W15" s="115"/>
      <c r="X15" s="115"/>
      <c r="Y15" s="115"/>
      <c r="Z15" s="115"/>
      <c r="AA15" s="115"/>
      <c r="AB15" s="115"/>
      <c r="AC15" s="115"/>
      <c r="AD15" s="115"/>
    </row>
    <row r="16" spans="1:30" s="84" customFormat="1" ht="34.5" customHeight="1" x14ac:dyDescent="0.25">
      <c r="T16" s="116"/>
      <c r="U16" s="116"/>
      <c r="V16" s="282"/>
      <c r="W16" s="84" t="s">
        <v>210</v>
      </c>
    </row>
    <row r="17" spans="1:22" s="84" customFormat="1" x14ac:dyDescent="0.25">
      <c r="A17" s="112" t="s">
        <v>44</v>
      </c>
      <c r="T17" s="116"/>
      <c r="U17" s="116"/>
      <c r="V17" s="282"/>
    </row>
    <row r="18" spans="1:22" s="84" customFormat="1" x14ac:dyDescent="0.25">
      <c r="T18" s="116"/>
      <c r="U18" s="116"/>
      <c r="V18" s="282"/>
    </row>
    <row r="19" spans="1:22" s="84" customFormat="1" x14ac:dyDescent="0.25">
      <c r="A19" s="84" t="s">
        <v>55</v>
      </c>
      <c r="T19" s="116"/>
      <c r="U19" s="116"/>
      <c r="V19" s="282"/>
    </row>
    <row r="20" spans="1:22" s="84" customFormat="1" x14ac:dyDescent="0.25">
      <c r="T20" s="116"/>
      <c r="U20" s="116"/>
      <c r="V20" s="282"/>
    </row>
    <row r="21" spans="1:22" s="84" customFormat="1" x14ac:dyDescent="0.25">
      <c r="T21" s="116"/>
      <c r="U21" s="116"/>
      <c r="V21" s="282"/>
    </row>
  </sheetData>
  <mergeCells count="68">
    <mergeCell ref="E6:E8"/>
    <mergeCell ref="F6:F8"/>
    <mergeCell ref="A1:AD1"/>
    <mergeCell ref="A2:AD2"/>
    <mergeCell ref="A3:AD3"/>
    <mergeCell ref="Y4:Z4"/>
    <mergeCell ref="AB4:AD4"/>
    <mergeCell ref="J5:N5"/>
    <mergeCell ref="P5:S5"/>
    <mergeCell ref="X5:AA5"/>
    <mergeCell ref="AD6:AD8"/>
    <mergeCell ref="J7:J8"/>
    <mergeCell ref="K7:K8"/>
    <mergeCell ref="L7:L8"/>
    <mergeCell ref="M7:M8"/>
    <mergeCell ref="U6:U8"/>
    <mergeCell ref="V6:V8"/>
    <mergeCell ref="W6:W8"/>
    <mergeCell ref="X6:X8"/>
    <mergeCell ref="Y6:Y8"/>
    <mergeCell ref="O6:O8"/>
    <mergeCell ref="P6:P8"/>
    <mergeCell ref="Q6:Q8"/>
    <mergeCell ref="R6:R8"/>
    <mergeCell ref="S6:S8"/>
    <mergeCell ref="A14:C14"/>
    <mergeCell ref="AA6:AA8"/>
    <mergeCell ref="AB6:AB8"/>
    <mergeCell ref="AC6:AC8"/>
    <mergeCell ref="T6:T8"/>
    <mergeCell ref="G6:G8"/>
    <mergeCell ref="H6:H8"/>
    <mergeCell ref="I6:I8"/>
    <mergeCell ref="J6:K6"/>
    <mergeCell ref="L6:M6"/>
    <mergeCell ref="N6:N8"/>
    <mergeCell ref="A6:A8"/>
    <mergeCell ref="B6:B8"/>
    <mergeCell ref="C6:C8"/>
    <mergeCell ref="D6:D8"/>
    <mergeCell ref="Z6:Z8"/>
    <mergeCell ref="A12:A13"/>
    <mergeCell ref="B12:B13"/>
    <mergeCell ref="C12:C13"/>
    <mergeCell ref="D12:D13"/>
    <mergeCell ref="F12:F13"/>
    <mergeCell ref="L12:L13"/>
    <mergeCell ref="M12:M13"/>
    <mergeCell ref="N12:N13"/>
    <mergeCell ref="G12:G13"/>
    <mergeCell ref="H12:H13"/>
    <mergeCell ref="I12:I13"/>
    <mergeCell ref="J12:J13"/>
    <mergeCell ref="K12:K13"/>
    <mergeCell ref="AC12:AC13"/>
    <mergeCell ref="AD12:AD13"/>
    <mergeCell ref="O11:R11"/>
    <mergeCell ref="O12:R13"/>
    <mergeCell ref="X12:X13"/>
    <mergeCell ref="Y12:Y13"/>
    <mergeCell ref="Z12:Z13"/>
    <mergeCell ref="AA12:AA13"/>
    <mergeCell ref="AB12:AB13"/>
    <mergeCell ref="S12:S13"/>
    <mergeCell ref="T12:T13"/>
    <mergeCell ref="U12:U13"/>
    <mergeCell ref="V12:V13"/>
    <mergeCell ref="W12:W13"/>
  </mergeCells>
  <printOptions horizontalCentered="1"/>
  <pageMargins left="0.5" right="0.5" top="0.28999999999999998" bottom="0.23" header="0.15" footer="0.15"/>
  <pageSetup paperSize="5" scale="49"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33CC"/>
    <pageSetUpPr fitToPage="1"/>
  </sheetPr>
  <dimension ref="A1:Z33"/>
  <sheetViews>
    <sheetView tabSelected="1" view="pageBreakPreview" topLeftCell="M1" zoomScale="75" zoomScaleNormal="70" zoomScaleSheetLayoutView="75" workbookViewId="0">
      <selection activeCell="AG13" sqref="AG13"/>
    </sheetView>
  </sheetViews>
  <sheetFormatPr defaultRowHeight="18.75" x14ac:dyDescent="0.3"/>
  <cols>
    <col min="1" max="1" width="5.7109375" style="52" customWidth="1"/>
    <col min="2" max="2" width="10.7109375" style="52" customWidth="1"/>
    <col min="3" max="3" width="18.42578125" style="52" customWidth="1"/>
    <col min="4" max="4" width="29.5703125" style="52" customWidth="1"/>
    <col min="5" max="5" width="29.5703125" style="259" customWidth="1"/>
    <col min="6" max="6" width="11.28515625" style="52" customWidth="1"/>
    <col min="7" max="7" width="17.85546875" style="52" customWidth="1"/>
    <col min="8" max="8" width="11.85546875" style="52" customWidth="1"/>
    <col min="9" max="9" width="14.140625" style="52" customWidth="1"/>
    <col min="10" max="10" width="12.7109375" style="52" customWidth="1"/>
    <col min="11" max="11" width="10.28515625" style="52" customWidth="1"/>
    <col min="12" max="12" width="9.5703125" style="52" customWidth="1"/>
    <col min="13" max="13" width="11.5703125" style="52" customWidth="1"/>
    <col min="14" max="14" width="9.140625" style="52"/>
    <col min="15" max="15" width="10.5703125" style="52" customWidth="1"/>
    <col min="16" max="16" width="10.28515625" style="52" customWidth="1"/>
    <col min="17" max="17" width="9.7109375" style="134" customWidth="1"/>
    <col min="18" max="18" width="13.7109375" style="134" customWidth="1"/>
    <col min="19" max="19" width="14" style="134" customWidth="1"/>
    <col min="20" max="20" width="13.42578125" style="134" customWidth="1"/>
    <col min="21" max="21" width="16" style="295" customWidth="1"/>
    <col min="22" max="24" width="11.7109375" style="134" bestFit="1" customWidth="1"/>
    <col min="25" max="25" width="11.140625" style="134" customWidth="1"/>
    <col min="26" max="26" width="14.42578125" style="52" customWidth="1"/>
    <col min="27" max="16384" width="9.140625" style="52"/>
  </cols>
  <sheetData>
    <row r="1" spans="1:26" s="40" customFormat="1" x14ac:dyDescent="0.25">
      <c r="A1" s="506" t="s">
        <v>47</v>
      </c>
      <c r="B1" s="506"/>
      <c r="C1" s="506"/>
      <c r="D1" s="506"/>
      <c r="E1" s="506"/>
      <c r="F1" s="506"/>
      <c r="G1" s="506"/>
      <c r="H1" s="506"/>
      <c r="I1" s="506"/>
      <c r="J1" s="506"/>
      <c r="K1" s="506"/>
      <c r="L1" s="506"/>
      <c r="M1" s="506"/>
      <c r="N1" s="506"/>
      <c r="O1" s="506"/>
      <c r="P1" s="506"/>
      <c r="Q1" s="506"/>
      <c r="R1" s="506"/>
      <c r="S1" s="506"/>
      <c r="T1" s="506"/>
      <c r="U1" s="506"/>
      <c r="V1" s="506"/>
      <c r="W1" s="506"/>
      <c r="X1" s="506"/>
      <c r="Y1" s="506"/>
      <c r="Z1" s="506"/>
    </row>
    <row r="2" spans="1:26" s="40" customFormat="1" x14ac:dyDescent="0.25">
      <c r="A2" s="506" t="s">
        <v>56</v>
      </c>
      <c r="B2" s="506"/>
      <c r="C2" s="506"/>
      <c r="D2" s="506"/>
      <c r="E2" s="506"/>
      <c r="F2" s="506"/>
      <c r="G2" s="506"/>
      <c r="H2" s="506"/>
      <c r="I2" s="506"/>
      <c r="J2" s="506"/>
      <c r="K2" s="506"/>
      <c r="L2" s="506"/>
      <c r="M2" s="506"/>
      <c r="N2" s="506"/>
      <c r="O2" s="506"/>
      <c r="P2" s="506"/>
      <c r="Q2" s="506"/>
      <c r="R2" s="506"/>
      <c r="S2" s="506"/>
      <c r="T2" s="506"/>
      <c r="U2" s="506"/>
      <c r="V2" s="506"/>
      <c r="W2" s="506"/>
      <c r="X2" s="506"/>
      <c r="Y2" s="506"/>
      <c r="Z2" s="506"/>
    </row>
    <row r="3" spans="1:26" s="40" customFormat="1" ht="24.75" customHeight="1" x14ac:dyDescent="0.25">
      <c r="A3" s="381" t="s">
        <v>58</v>
      </c>
      <c r="B3" s="381"/>
      <c r="C3" s="381"/>
      <c r="D3" s="381"/>
      <c r="E3" s="381"/>
      <c r="F3" s="381"/>
      <c r="G3" s="381"/>
      <c r="H3" s="381"/>
      <c r="I3" s="381"/>
      <c r="J3" s="381"/>
      <c r="K3" s="381"/>
      <c r="L3" s="381"/>
      <c r="M3" s="381"/>
      <c r="N3" s="381"/>
      <c r="O3" s="381"/>
      <c r="P3" s="381"/>
      <c r="Q3" s="381"/>
      <c r="R3" s="381"/>
      <c r="S3" s="381"/>
      <c r="T3" s="381"/>
      <c r="U3" s="381"/>
      <c r="V3" s="381"/>
      <c r="W3" s="381"/>
      <c r="X3" s="381"/>
      <c r="Y3" s="381"/>
      <c r="Z3" s="381"/>
    </row>
    <row r="4" spans="1:26" s="40" customFormat="1" ht="26.25" customHeight="1" x14ac:dyDescent="0.25">
      <c r="A4" s="73" t="s">
        <v>192</v>
      </c>
      <c r="B4" s="121"/>
      <c r="C4" s="121"/>
      <c r="D4" s="121"/>
      <c r="E4" s="121"/>
      <c r="F4" s="121"/>
      <c r="G4" s="120"/>
      <c r="H4" s="121"/>
      <c r="I4" s="121"/>
      <c r="J4" s="121"/>
      <c r="K4" s="121"/>
      <c r="L4" s="120"/>
      <c r="M4" s="120"/>
      <c r="N4" s="120"/>
      <c r="O4" s="121"/>
      <c r="P4" s="121"/>
      <c r="Q4" s="121"/>
      <c r="R4" s="121"/>
      <c r="S4" s="121"/>
      <c r="T4" s="121"/>
      <c r="U4" s="284"/>
      <c r="V4" s="121"/>
      <c r="W4" s="121"/>
      <c r="X4" s="121"/>
      <c r="Y4" s="121"/>
      <c r="Z4" s="121"/>
    </row>
    <row r="5" spans="1:26" s="40" customFormat="1" ht="77.25" customHeight="1" x14ac:dyDescent="0.25">
      <c r="A5" s="420" t="s">
        <v>20</v>
      </c>
      <c r="B5" s="376" t="s">
        <v>54</v>
      </c>
      <c r="C5" s="376" t="s">
        <v>34</v>
      </c>
      <c r="D5" s="376" t="s">
        <v>200</v>
      </c>
      <c r="E5" s="376" t="s">
        <v>343</v>
      </c>
      <c r="F5" s="376" t="s">
        <v>249</v>
      </c>
      <c r="G5" s="376" t="s">
        <v>25</v>
      </c>
      <c r="H5" s="376" t="s">
        <v>214</v>
      </c>
      <c r="I5" s="376" t="s">
        <v>26</v>
      </c>
      <c r="J5" s="376" t="s">
        <v>53</v>
      </c>
      <c r="K5" s="420" t="s">
        <v>27</v>
      </c>
      <c r="L5" s="420"/>
      <c r="M5" s="420"/>
      <c r="N5" s="420"/>
      <c r="O5" s="376" t="s">
        <v>31</v>
      </c>
      <c r="P5" s="376" t="s">
        <v>32</v>
      </c>
      <c r="Q5" s="504" t="s">
        <v>4</v>
      </c>
      <c r="R5" s="500" t="s">
        <v>71</v>
      </c>
      <c r="S5" s="501"/>
      <c r="T5" s="502"/>
      <c r="U5" s="503" t="s">
        <v>232</v>
      </c>
      <c r="V5" s="500" t="s">
        <v>75</v>
      </c>
      <c r="W5" s="501"/>
      <c r="X5" s="501"/>
      <c r="Y5" s="504" t="s">
        <v>70</v>
      </c>
      <c r="Z5" s="376" t="s">
        <v>37</v>
      </c>
    </row>
    <row r="6" spans="1:26" s="40" customFormat="1" ht="83.25" customHeight="1" x14ac:dyDescent="0.25">
      <c r="A6" s="420"/>
      <c r="B6" s="377"/>
      <c r="C6" s="377"/>
      <c r="D6" s="377"/>
      <c r="E6" s="382"/>
      <c r="F6" s="377"/>
      <c r="G6" s="377"/>
      <c r="H6" s="377"/>
      <c r="I6" s="377"/>
      <c r="J6" s="377"/>
      <c r="K6" s="83" t="s">
        <v>52</v>
      </c>
      <c r="L6" s="83" t="s">
        <v>21</v>
      </c>
      <c r="M6" s="83" t="s">
        <v>18</v>
      </c>
      <c r="N6" s="83" t="s">
        <v>15</v>
      </c>
      <c r="O6" s="377"/>
      <c r="P6" s="377"/>
      <c r="Q6" s="504"/>
      <c r="R6" s="136" t="s">
        <v>72</v>
      </c>
      <c r="S6" s="136" t="s">
        <v>73</v>
      </c>
      <c r="T6" s="136" t="s">
        <v>74</v>
      </c>
      <c r="U6" s="503"/>
      <c r="V6" s="41" t="s">
        <v>0</v>
      </c>
      <c r="W6" s="41" t="s">
        <v>1</v>
      </c>
      <c r="X6" s="122" t="s">
        <v>2</v>
      </c>
      <c r="Y6" s="505"/>
      <c r="Z6" s="377"/>
    </row>
    <row r="7" spans="1:26" s="6" customFormat="1" ht="18" x14ac:dyDescent="0.25">
      <c r="A7" s="138">
        <v>1</v>
      </c>
      <c r="B7" s="138">
        <v>2</v>
      </c>
      <c r="C7" s="138">
        <v>3</v>
      </c>
      <c r="D7" s="138">
        <v>4</v>
      </c>
      <c r="E7" s="307"/>
      <c r="F7" s="138">
        <v>5</v>
      </c>
      <c r="G7" s="138">
        <v>6</v>
      </c>
      <c r="H7" s="138">
        <v>7</v>
      </c>
      <c r="I7" s="138">
        <v>8</v>
      </c>
      <c r="J7" s="138">
        <v>9</v>
      </c>
      <c r="K7" s="138">
        <v>10</v>
      </c>
      <c r="L7" s="138">
        <v>11</v>
      </c>
      <c r="M7" s="138">
        <v>12</v>
      </c>
      <c r="N7" s="138">
        <v>13</v>
      </c>
      <c r="O7" s="138">
        <v>14</v>
      </c>
      <c r="P7" s="138">
        <v>15</v>
      </c>
      <c r="Q7" s="138">
        <v>16</v>
      </c>
      <c r="R7" s="138"/>
      <c r="S7" s="138"/>
      <c r="T7" s="138"/>
      <c r="U7" s="298">
        <v>17</v>
      </c>
      <c r="V7" s="138">
        <v>18</v>
      </c>
      <c r="W7" s="138">
        <v>19</v>
      </c>
      <c r="X7" s="138">
        <v>20</v>
      </c>
      <c r="Y7" s="138">
        <v>21</v>
      </c>
      <c r="Z7" s="138">
        <v>22</v>
      </c>
    </row>
    <row r="8" spans="1:26" s="133" customFormat="1" ht="31.5" customHeight="1" x14ac:dyDescent="0.25">
      <c r="A8" s="124" t="s">
        <v>337</v>
      </c>
      <c r="B8" s="124"/>
      <c r="C8" s="124"/>
      <c r="D8" s="124"/>
      <c r="E8" s="258"/>
      <c r="F8" s="124"/>
      <c r="G8" s="124"/>
      <c r="H8" s="124"/>
      <c r="I8" s="124"/>
      <c r="J8" s="124"/>
      <c r="K8" s="124"/>
      <c r="L8" s="124"/>
      <c r="M8" s="124"/>
      <c r="N8" s="124"/>
      <c r="O8" s="124"/>
      <c r="P8" s="124"/>
      <c r="Q8" s="124"/>
      <c r="R8" s="124"/>
      <c r="S8" s="124"/>
      <c r="T8" s="124"/>
      <c r="U8" s="286"/>
      <c r="V8" s="124"/>
      <c r="W8" s="124"/>
      <c r="X8" s="124"/>
      <c r="Y8" s="124"/>
      <c r="Z8" s="124"/>
    </row>
    <row r="9" spans="1:26" s="125" customFormat="1" ht="330" x14ac:dyDescent="0.25">
      <c r="A9" s="161"/>
      <c r="B9" s="41" t="s">
        <v>193</v>
      </c>
      <c r="C9" s="39" t="s">
        <v>219</v>
      </c>
      <c r="D9" s="9" t="s">
        <v>224</v>
      </c>
      <c r="E9" s="46" t="s">
        <v>352</v>
      </c>
      <c r="F9" s="46" t="s">
        <v>220</v>
      </c>
      <c r="G9" s="46" t="s">
        <v>196</v>
      </c>
      <c r="H9" s="43" t="s">
        <v>120</v>
      </c>
      <c r="I9" s="62" t="s">
        <v>84</v>
      </c>
      <c r="J9" s="62" t="s">
        <v>84</v>
      </c>
      <c r="K9" s="63" t="s">
        <v>215</v>
      </c>
      <c r="L9" s="62"/>
      <c r="M9" s="62"/>
      <c r="N9" s="62"/>
      <c r="O9" s="64" t="s">
        <v>122</v>
      </c>
      <c r="P9" s="46" t="s">
        <v>221</v>
      </c>
      <c r="Q9" s="55">
        <v>12.77</v>
      </c>
      <c r="R9" s="55">
        <v>5.82</v>
      </c>
      <c r="S9" s="200">
        <v>0</v>
      </c>
      <c r="T9" s="254">
        <f>SUM(R9:S9)</f>
        <v>5.82</v>
      </c>
      <c r="U9" s="290">
        <v>0</v>
      </c>
      <c r="V9" s="200">
        <v>0</v>
      </c>
      <c r="W9" s="200">
        <v>0</v>
      </c>
      <c r="X9" s="200">
        <v>0</v>
      </c>
      <c r="Y9" s="200">
        <f>'CpX-Lis 23-24'!S10+T9</f>
        <v>327.95800000000003</v>
      </c>
      <c r="Z9" s="9"/>
    </row>
    <row r="10" spans="1:26" s="144" customFormat="1" ht="27" customHeight="1" x14ac:dyDescent="0.25">
      <c r="A10" s="403" t="s">
        <v>64</v>
      </c>
      <c r="B10" s="404"/>
      <c r="C10" s="405"/>
      <c r="D10" s="110"/>
      <c r="E10" s="48"/>
      <c r="F10" s="110"/>
      <c r="G10" s="110"/>
      <c r="H10" s="110"/>
      <c r="I10" s="110"/>
      <c r="J10" s="110"/>
      <c r="K10" s="107"/>
      <c r="L10" s="108"/>
      <c r="M10" s="108"/>
      <c r="N10" s="109"/>
      <c r="O10" s="110"/>
      <c r="P10" s="110"/>
      <c r="Q10" s="260">
        <f t="shared" ref="Q10:V10" si="0">SUM(Q9:Q9)</f>
        <v>12.77</v>
      </c>
      <c r="R10" s="260">
        <f t="shared" si="0"/>
        <v>5.82</v>
      </c>
      <c r="S10" s="202">
        <f t="shared" si="0"/>
        <v>0</v>
      </c>
      <c r="T10" s="260">
        <f t="shared" si="0"/>
        <v>5.82</v>
      </c>
      <c r="U10" s="299">
        <f t="shared" si="0"/>
        <v>0</v>
      </c>
      <c r="V10" s="202">
        <f t="shared" si="0"/>
        <v>0</v>
      </c>
      <c r="W10" s="110"/>
      <c r="X10" s="110"/>
      <c r="Y10" s="202">
        <f>SUM(Y9:Y9)</f>
        <v>327.95800000000003</v>
      </c>
      <c r="Z10" s="143"/>
    </row>
    <row r="11" spans="1:26" s="135" customFormat="1" ht="27" customHeight="1" x14ac:dyDescent="0.25">
      <c r="A11" s="124" t="s">
        <v>353</v>
      </c>
      <c r="B11" s="124"/>
      <c r="C11" s="124"/>
      <c r="D11" s="124"/>
      <c r="E11" s="258"/>
      <c r="F11" s="124"/>
      <c r="G11" s="124"/>
      <c r="H11" s="124"/>
      <c r="I11" s="124"/>
      <c r="J11" s="124"/>
      <c r="K11" s="107"/>
      <c r="L11" s="108"/>
      <c r="M11" s="108"/>
      <c r="N11" s="109"/>
      <c r="O11" s="124"/>
      <c r="P11" s="124"/>
      <c r="Q11" s="124"/>
      <c r="R11" s="124"/>
      <c r="S11" s="124"/>
      <c r="T11" s="124"/>
      <c r="U11" s="286"/>
      <c r="V11" s="124"/>
      <c r="W11" s="124"/>
      <c r="X11" s="124"/>
      <c r="Y11" s="124"/>
      <c r="Z11" s="124"/>
    </row>
    <row r="12" spans="1:26" s="132" customFormat="1" ht="126" x14ac:dyDescent="0.25">
      <c r="A12" s="155">
        <v>1</v>
      </c>
      <c r="B12" s="155" t="s">
        <v>246</v>
      </c>
      <c r="C12" s="155" t="s">
        <v>247</v>
      </c>
      <c r="D12" s="157" t="s">
        <v>248</v>
      </c>
      <c r="E12" s="155" t="s">
        <v>354</v>
      </c>
      <c r="F12" s="165" t="s">
        <v>250</v>
      </c>
      <c r="G12" s="156" t="s">
        <v>84</v>
      </c>
      <c r="H12" s="156" t="s">
        <v>84</v>
      </c>
      <c r="I12" s="156" t="s">
        <v>84</v>
      </c>
      <c r="J12" s="162" t="s">
        <v>84</v>
      </c>
      <c r="K12" s="494" t="s">
        <v>287</v>
      </c>
      <c r="L12" s="495"/>
      <c r="M12" s="495"/>
      <c r="N12" s="496"/>
      <c r="O12" s="163" t="s">
        <v>241</v>
      </c>
      <c r="P12" s="158" t="s">
        <v>284</v>
      </c>
      <c r="Q12" s="159">
        <v>0</v>
      </c>
      <c r="R12" s="159">
        <v>0</v>
      </c>
      <c r="S12" s="159">
        <v>0</v>
      </c>
      <c r="T12" s="159">
        <v>0</v>
      </c>
      <c r="U12" s="289">
        <f>166.04/2</f>
        <v>83.02</v>
      </c>
      <c r="V12" s="159">
        <f>166.04/2</f>
        <v>83.02</v>
      </c>
      <c r="W12" s="164">
        <v>0</v>
      </c>
      <c r="X12" s="164">
        <v>0</v>
      </c>
      <c r="Y12" s="159">
        <f>SUM(U12:X12)</f>
        <v>166.04</v>
      </c>
      <c r="Z12" s="489" t="s">
        <v>237</v>
      </c>
    </row>
    <row r="13" spans="1:26" s="132" customFormat="1" ht="216" x14ac:dyDescent="0.25">
      <c r="A13" s="127">
        <v>2</v>
      </c>
      <c r="B13" s="129" t="s">
        <v>84</v>
      </c>
      <c r="C13" s="127" t="s">
        <v>201</v>
      </c>
      <c r="D13" s="128" t="s">
        <v>236</v>
      </c>
      <c r="E13" s="127" t="s">
        <v>351</v>
      </c>
      <c r="F13" s="46" t="s">
        <v>233</v>
      </c>
      <c r="G13" s="127" t="s">
        <v>286</v>
      </c>
      <c r="H13" s="129" t="s">
        <v>84</v>
      </c>
      <c r="I13" s="129" t="s">
        <v>84</v>
      </c>
      <c r="J13" s="137" t="s">
        <v>84</v>
      </c>
      <c r="K13" s="497" t="s">
        <v>234</v>
      </c>
      <c r="L13" s="498"/>
      <c r="M13" s="498"/>
      <c r="N13" s="499"/>
      <c r="O13" s="163" t="s">
        <v>241</v>
      </c>
      <c r="P13" s="130" t="s">
        <v>283</v>
      </c>
      <c r="Q13" s="131">
        <v>0</v>
      </c>
      <c r="R13" s="131">
        <v>0</v>
      </c>
      <c r="S13" s="131">
        <v>0</v>
      </c>
      <c r="T13" s="131">
        <v>0</v>
      </c>
      <c r="U13" s="300">
        <f>48.65*0.3</f>
        <v>14.594999999999999</v>
      </c>
      <c r="V13" s="153">
        <f>48.65-U13</f>
        <v>34.055</v>
      </c>
      <c r="W13" s="160">
        <v>0</v>
      </c>
      <c r="X13" s="160">
        <v>0</v>
      </c>
      <c r="Y13" s="131">
        <f>SUM(U13:X13)</f>
        <v>48.65</v>
      </c>
      <c r="Z13" s="490"/>
    </row>
    <row r="14" spans="1:26" s="123" customFormat="1" ht="27" customHeight="1" x14ac:dyDescent="0.25">
      <c r="A14" s="491" t="s">
        <v>65</v>
      </c>
      <c r="B14" s="492"/>
      <c r="C14" s="493"/>
      <c r="D14" s="48"/>
      <c r="E14" s="48"/>
      <c r="F14" s="48"/>
      <c r="G14" s="48"/>
      <c r="H14" s="48"/>
      <c r="I14" s="48"/>
      <c r="J14" s="48"/>
      <c r="K14" s="80"/>
      <c r="L14" s="81"/>
      <c r="M14" s="81"/>
      <c r="N14" s="82"/>
      <c r="O14" s="48"/>
      <c r="P14" s="48"/>
      <c r="Q14" s="48"/>
      <c r="R14" s="131">
        <f t="shared" ref="R14:S14" si="1">SUM(R12:R13)</f>
        <v>0</v>
      </c>
      <c r="S14" s="131">
        <f t="shared" si="1"/>
        <v>0</v>
      </c>
      <c r="T14" s="131">
        <f>SUM(T12:T13)</f>
        <v>0</v>
      </c>
      <c r="U14" s="300">
        <f>SUM(U12:U13)</f>
        <v>97.614999999999995</v>
      </c>
      <c r="V14" s="131">
        <f t="shared" ref="V14:Y14" si="2">SUM(V12:V13)</f>
        <v>117.07499999999999</v>
      </c>
      <c r="W14" s="131">
        <f t="shared" si="2"/>
        <v>0</v>
      </c>
      <c r="X14" s="131">
        <f t="shared" si="2"/>
        <v>0</v>
      </c>
      <c r="Y14" s="131">
        <f t="shared" si="2"/>
        <v>214.69</v>
      </c>
      <c r="Z14" s="135"/>
    </row>
    <row r="15" spans="1:26" s="123" customFormat="1" ht="27" customHeight="1" x14ac:dyDescent="0.25">
      <c r="A15" s="48"/>
      <c r="B15" s="48"/>
      <c r="C15" s="48"/>
      <c r="D15" s="48"/>
      <c r="E15" s="48"/>
      <c r="F15" s="48"/>
      <c r="G15" s="48"/>
      <c r="H15" s="48"/>
      <c r="I15" s="48"/>
      <c r="J15" s="48"/>
      <c r="K15" s="80"/>
      <c r="L15" s="81"/>
      <c r="M15" s="81"/>
      <c r="N15" s="82"/>
      <c r="O15" s="48"/>
      <c r="P15" s="48"/>
      <c r="Q15" s="48"/>
      <c r="R15" s="48"/>
      <c r="S15" s="48"/>
      <c r="T15" s="48"/>
      <c r="U15" s="301"/>
      <c r="V15" s="48"/>
      <c r="W15" s="48"/>
      <c r="X15" s="48"/>
      <c r="Y15" s="48"/>
      <c r="Z15" s="135"/>
    </row>
    <row r="16" spans="1:26" s="40" customFormat="1" ht="27" customHeight="1" x14ac:dyDescent="0.25">
      <c r="A16" s="124" t="s">
        <v>285</v>
      </c>
      <c r="B16" s="124"/>
      <c r="C16" s="124"/>
      <c r="D16" s="124"/>
      <c r="E16" s="258"/>
      <c r="F16" s="124"/>
      <c r="G16" s="124"/>
      <c r="H16" s="124"/>
      <c r="I16" s="124"/>
      <c r="J16" s="124"/>
      <c r="K16" s="80"/>
      <c r="L16" s="81"/>
      <c r="M16" s="81"/>
      <c r="N16" s="82"/>
      <c r="O16" s="124"/>
      <c r="P16" s="124"/>
      <c r="Q16" s="124"/>
      <c r="R16" s="124"/>
      <c r="S16" s="124"/>
      <c r="T16" s="124"/>
      <c r="U16" s="286"/>
      <c r="V16" s="124"/>
      <c r="W16" s="124"/>
      <c r="X16" s="124"/>
      <c r="Y16" s="124"/>
      <c r="Z16" s="124"/>
    </row>
    <row r="17" spans="1:26" s="40" customFormat="1" ht="27" customHeight="1" x14ac:dyDescent="0.25">
      <c r="A17" s="491" t="s">
        <v>67</v>
      </c>
      <c r="B17" s="492"/>
      <c r="C17" s="493"/>
      <c r="D17" s="48"/>
      <c r="E17" s="48"/>
      <c r="F17" s="48"/>
      <c r="G17" s="48"/>
      <c r="H17" s="48"/>
      <c r="I17" s="48"/>
      <c r="J17" s="48"/>
      <c r="K17" s="80"/>
      <c r="L17" s="81"/>
      <c r="M17" s="81"/>
      <c r="N17" s="82"/>
      <c r="O17" s="48"/>
      <c r="P17" s="48"/>
      <c r="Q17" s="48"/>
      <c r="R17" s="48"/>
      <c r="S17" s="48"/>
      <c r="T17" s="48"/>
      <c r="U17" s="301"/>
      <c r="V17" s="48"/>
      <c r="W17" s="48"/>
      <c r="X17" s="48"/>
      <c r="Y17" s="48"/>
      <c r="Z17" s="140"/>
    </row>
    <row r="18" spans="1:26" s="40" customFormat="1" ht="27" customHeight="1" x14ac:dyDescent="0.25">
      <c r="A18" s="491" t="s">
        <v>68</v>
      </c>
      <c r="B18" s="492"/>
      <c r="C18" s="493"/>
      <c r="D18" s="48"/>
      <c r="E18" s="48"/>
      <c r="F18" s="48"/>
      <c r="G18" s="48"/>
      <c r="H18" s="48"/>
      <c r="I18" s="48"/>
      <c r="J18" s="48"/>
      <c r="K18" s="80"/>
      <c r="L18" s="81"/>
      <c r="M18" s="81"/>
      <c r="N18" s="82"/>
      <c r="O18" s="48"/>
      <c r="P18" s="48"/>
      <c r="Q18" s="262">
        <f>Q10</f>
        <v>12.77</v>
      </c>
      <c r="R18" s="262">
        <f t="shared" ref="R18:T18" si="3">R10</f>
        <v>5.82</v>
      </c>
      <c r="S18" s="262">
        <f t="shared" si="3"/>
        <v>0</v>
      </c>
      <c r="T18" s="262">
        <f t="shared" si="3"/>
        <v>5.82</v>
      </c>
      <c r="U18" s="293">
        <f>U14</f>
        <v>97.614999999999995</v>
      </c>
      <c r="V18" s="199">
        <f t="shared" ref="V18:Y18" si="4">V14</f>
        <v>117.07499999999999</v>
      </c>
      <c r="W18" s="199">
        <f t="shared" si="4"/>
        <v>0</v>
      </c>
      <c r="X18" s="199">
        <f t="shared" si="4"/>
        <v>0</v>
      </c>
      <c r="Y18" s="199">
        <f t="shared" si="4"/>
        <v>214.69</v>
      </c>
      <c r="Z18" s="140"/>
    </row>
    <row r="19" spans="1:26" s="40" customFormat="1" ht="73.5" customHeight="1" x14ac:dyDescent="0.25">
      <c r="A19" s="50"/>
      <c r="B19" s="50"/>
      <c r="C19" s="50"/>
      <c r="D19" s="51"/>
      <c r="E19" s="51"/>
      <c r="F19" s="51"/>
      <c r="G19" s="51"/>
      <c r="H19" s="51"/>
      <c r="I19" s="51"/>
      <c r="J19" s="51"/>
      <c r="K19" s="51"/>
      <c r="L19" s="51"/>
      <c r="M19" s="51"/>
      <c r="N19" s="51"/>
      <c r="O19" s="51"/>
      <c r="P19" s="51"/>
      <c r="Q19" s="51"/>
      <c r="R19" s="51"/>
      <c r="S19" s="51"/>
      <c r="T19" s="51"/>
      <c r="U19" s="294"/>
      <c r="V19" s="51"/>
      <c r="W19" s="51"/>
      <c r="X19" s="51"/>
      <c r="Y19" s="51"/>
    </row>
    <row r="20" spans="1:26" s="40" customFormat="1" ht="27" customHeight="1" x14ac:dyDescent="0.25">
      <c r="E20" s="247"/>
      <c r="Q20" s="141"/>
      <c r="R20" s="141"/>
      <c r="S20" s="141"/>
      <c r="T20" s="141"/>
      <c r="U20" s="302"/>
      <c r="V20" s="142" t="s">
        <v>210</v>
      </c>
      <c r="W20" s="141"/>
      <c r="X20" s="141"/>
      <c r="Y20" s="141"/>
    </row>
    <row r="21" spans="1:26" s="40" customFormat="1" x14ac:dyDescent="0.25">
      <c r="A21" s="49" t="s">
        <v>44</v>
      </c>
      <c r="E21" s="247"/>
      <c r="Q21" s="141"/>
      <c r="R21" s="141"/>
      <c r="S21" s="141"/>
      <c r="T21" s="141"/>
      <c r="U21" s="302"/>
      <c r="V21" s="141"/>
      <c r="W21" s="141"/>
      <c r="X21" s="141"/>
      <c r="Y21" s="141"/>
    </row>
    <row r="22" spans="1:26" s="40" customFormat="1" x14ac:dyDescent="0.25">
      <c r="A22" s="49"/>
      <c r="E22" s="247"/>
      <c r="Q22" s="141"/>
      <c r="R22" s="141"/>
      <c r="S22" s="141"/>
      <c r="T22" s="141"/>
      <c r="U22" s="302"/>
      <c r="V22" s="141"/>
      <c r="W22" s="141"/>
      <c r="X22" s="141"/>
      <c r="Y22" s="141"/>
    </row>
    <row r="23" spans="1:26" s="40" customFormat="1" x14ac:dyDescent="0.25">
      <c r="A23" s="40" t="s">
        <v>55</v>
      </c>
      <c r="E23" s="247"/>
      <c r="Q23" s="141"/>
      <c r="R23" s="141"/>
      <c r="S23" s="141"/>
      <c r="T23" s="141"/>
      <c r="U23" s="302"/>
      <c r="V23" s="141"/>
      <c r="W23" s="141"/>
      <c r="X23" s="141"/>
      <c r="Y23" s="141"/>
    </row>
    <row r="24" spans="1:26" s="40" customFormat="1" x14ac:dyDescent="0.25">
      <c r="E24" s="247"/>
      <c r="Q24" s="141"/>
      <c r="R24" s="141"/>
      <c r="S24" s="141"/>
      <c r="T24" s="141"/>
      <c r="U24" s="302"/>
      <c r="V24" s="141"/>
      <c r="W24" s="141"/>
      <c r="X24" s="141"/>
      <c r="Y24" s="141"/>
    </row>
    <row r="25" spans="1:26" s="40" customFormat="1" x14ac:dyDescent="0.25">
      <c r="E25" s="247"/>
      <c r="Q25" s="141"/>
      <c r="R25" s="141"/>
      <c r="S25" s="141"/>
      <c r="T25" s="141"/>
      <c r="U25" s="302"/>
      <c r="V25" s="141"/>
      <c r="W25" s="141"/>
      <c r="X25" s="141"/>
      <c r="Y25" s="141"/>
    </row>
    <row r="26" spans="1:26" s="40" customFormat="1" x14ac:dyDescent="0.25">
      <c r="E26" s="247"/>
      <c r="Q26" s="141"/>
      <c r="R26" s="141"/>
      <c r="S26" s="141"/>
      <c r="T26" s="141"/>
      <c r="U26" s="302"/>
      <c r="V26" s="141"/>
      <c r="W26" s="141"/>
      <c r="X26" s="141"/>
      <c r="Y26" s="141"/>
    </row>
    <row r="27" spans="1:26" s="40" customFormat="1" x14ac:dyDescent="0.25">
      <c r="E27" s="247"/>
      <c r="Q27" s="141"/>
      <c r="R27" s="141"/>
      <c r="S27" s="141"/>
      <c r="T27" s="141"/>
      <c r="U27" s="302"/>
      <c r="V27" s="141"/>
      <c r="W27" s="141"/>
      <c r="X27" s="141"/>
      <c r="Y27" s="141"/>
    </row>
    <row r="31" spans="1:26" x14ac:dyDescent="0.3">
      <c r="D31" s="52" t="s">
        <v>235</v>
      </c>
    </row>
    <row r="33" spans="1:26" s="123" customFormat="1" ht="409.5" x14ac:dyDescent="0.25">
      <c r="A33" s="41"/>
      <c r="B33" s="41" t="s">
        <v>100</v>
      </c>
      <c r="C33" s="42" t="s">
        <v>101</v>
      </c>
      <c r="D33" s="39" t="s">
        <v>209</v>
      </c>
      <c r="E33" s="46"/>
      <c r="F33" s="46" t="s">
        <v>79</v>
      </c>
      <c r="G33" s="46" t="s">
        <v>103</v>
      </c>
      <c r="H33" s="43" t="s">
        <v>104</v>
      </c>
      <c r="I33" s="46" t="s">
        <v>105</v>
      </c>
      <c r="J33" s="46">
        <f>1279.05-100.08</f>
        <v>1178.97</v>
      </c>
      <c r="K33" s="47">
        <f>J33-M33</f>
        <v>177.32000000000005</v>
      </c>
      <c r="L33" s="46" t="s">
        <v>92</v>
      </c>
      <c r="M33" s="45">
        <v>1001.65</v>
      </c>
      <c r="N33" s="126" t="s">
        <v>84</v>
      </c>
      <c r="O33" s="46" t="s">
        <v>106</v>
      </c>
      <c r="P33" s="44" t="s">
        <v>107</v>
      </c>
      <c r="Q33" s="46"/>
      <c r="R33" s="55">
        <f>ROUND(-47976696.32/10^7,3)</f>
        <v>-4.798</v>
      </c>
      <c r="S33" s="55"/>
      <c r="T33" s="71"/>
      <c r="U33" s="296"/>
      <c r="V33" s="71"/>
      <c r="X33" s="135"/>
      <c r="Y33" s="135"/>
      <c r="Z33" s="135"/>
    </row>
  </sheetData>
  <mergeCells count="29">
    <mergeCell ref="Y5:Y6"/>
    <mergeCell ref="Z5:Z6"/>
    <mergeCell ref="Q5:Q6"/>
    <mergeCell ref="A1:Z1"/>
    <mergeCell ref="A2:Z2"/>
    <mergeCell ref="A3:Z3"/>
    <mergeCell ref="A5:A6"/>
    <mergeCell ref="B5:B6"/>
    <mergeCell ref="C5:C6"/>
    <mergeCell ref="D5:D6"/>
    <mergeCell ref="F5:F6"/>
    <mergeCell ref="G5:G6"/>
    <mergeCell ref="H5:H6"/>
    <mergeCell ref="I5:I6"/>
    <mergeCell ref="J5:J6"/>
    <mergeCell ref="K5:N5"/>
    <mergeCell ref="A10:C10"/>
    <mergeCell ref="K13:N13"/>
    <mergeCell ref="R5:T5"/>
    <mergeCell ref="U5:U6"/>
    <mergeCell ref="V5:X5"/>
    <mergeCell ref="O5:O6"/>
    <mergeCell ref="P5:P6"/>
    <mergeCell ref="E5:E6"/>
    <mergeCell ref="Z12:Z13"/>
    <mergeCell ref="A14:C14"/>
    <mergeCell ref="A17:C17"/>
    <mergeCell ref="A18:C18"/>
    <mergeCell ref="K12:N12"/>
  </mergeCells>
  <printOptions horizontalCentered="1"/>
  <pageMargins left="0.5" right="0.5" top="0.5" bottom="0.25" header="0.17" footer="0.17"/>
  <pageSetup paperSize="5" scale="4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CapEx-23-24</vt:lpstr>
      <vt:lpstr>Caplzn 23-24</vt:lpstr>
      <vt:lpstr>CapEx 25-26</vt:lpstr>
      <vt:lpstr>CpX-Lis 23-24</vt:lpstr>
      <vt:lpstr>Caplzn-Lis</vt:lpstr>
      <vt:lpstr>CapEx-Lis 25-26</vt:lpstr>
      <vt:lpstr>'CapEx 25-26'!Print_Area</vt:lpstr>
      <vt:lpstr>'CapEx-23-24'!Print_Area</vt:lpstr>
      <vt:lpstr>'CapEx-Lis 25-26'!Print_Area</vt:lpstr>
      <vt:lpstr>'Caplzn 23-24'!Print_Area</vt:lpstr>
      <vt:lpstr>'Caplzn-Lis'!Print_Area</vt:lpstr>
      <vt:lpstr>'CpX-Lis 23-24'!Print_Area</vt:lpstr>
      <vt:lpstr>'CapEx 25-26'!Print_Titles</vt:lpstr>
      <vt:lpstr>'CapEx-23-24'!Print_Titles</vt:lpstr>
      <vt:lpstr>'Caplzn 23-24'!Print_Titles</vt:lpstr>
      <vt:lpstr>'CpX-Lis 23-24'!Print_Titles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TGTRANSCO DE</dc:creator>
  <cp:lastModifiedBy>TGTRANSCO DE</cp:lastModifiedBy>
  <cp:lastPrinted>2025-02-15T07:56:50Z</cp:lastPrinted>
  <dcterms:created xsi:type="dcterms:W3CDTF">2024-08-19T08:54:22Z</dcterms:created>
  <dcterms:modified xsi:type="dcterms:W3CDTF">2025-02-17T06:28:42Z</dcterms:modified>
</cp:coreProperties>
</file>